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readedComments/threadedComment1.xml" ContentType="application/vnd.ms-excel.threaded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 activeTab="1"/>
  </bookViews>
  <sheets>
    <sheet name="сетевой график" sheetId="1" r:id="rId1"/>
    <sheet name="показатели" sheetId="2" r:id="rId2"/>
    <sheet name="прокси" sheetId="3" r:id="rId3"/>
  </sheets>
  <definedNames>
    <definedName name="_xlnm._FilterDatabase" localSheetId="0" hidden="1">'сетевой график'!$A$10:$R$89</definedName>
  </definedNames>
  <calcPr calcId="125725"/>
</workbook>
</file>

<file path=xl/calcChain.xml><?xml version="1.0" encoding="utf-8"?>
<calcChain xmlns="http://schemas.openxmlformats.org/spreadsheetml/2006/main">
  <c r="L70" i="3"/>
  <c r="J70"/>
  <c r="H70"/>
  <c r="F70"/>
  <c r="L69"/>
  <c r="J69"/>
  <c r="H69"/>
  <c r="F69"/>
  <c r="L67"/>
  <c r="J67"/>
  <c r="H67"/>
  <c r="F67"/>
  <c r="L66"/>
  <c r="J66"/>
  <c r="H66"/>
  <c r="F66"/>
  <c r="O16"/>
  <c r="L16"/>
  <c r="I16"/>
  <c r="F16"/>
  <c r="O15"/>
  <c r="L15"/>
  <c r="I15"/>
  <c r="F15"/>
  <c r="O14"/>
  <c r="L14"/>
  <c r="I14"/>
  <c r="F14"/>
  <c r="O13"/>
  <c r="L13"/>
  <c r="I13"/>
  <c r="F13"/>
  <c r="L28" i="2"/>
  <c r="J28"/>
  <c r="H28"/>
  <c r="F28"/>
  <c r="L27"/>
  <c r="J27"/>
  <c r="H27"/>
  <c r="F27"/>
  <c r="J24"/>
  <c r="I24"/>
  <c r="G24"/>
  <c r="H24" s="1"/>
  <c r="F24"/>
  <c r="E24"/>
  <c r="I23"/>
  <c r="J23" s="1"/>
  <c r="H23"/>
  <c r="G23"/>
  <c r="E23"/>
  <c r="F23" s="1"/>
  <c r="J22"/>
  <c r="I22"/>
  <c r="H22"/>
  <c r="F22"/>
  <c r="J21"/>
  <c r="I21"/>
  <c r="G21"/>
  <c r="H21" s="1"/>
  <c r="F21"/>
  <c r="E21"/>
  <c r="J20"/>
  <c r="H20"/>
  <c r="G20"/>
  <c r="J19"/>
  <c r="H19"/>
  <c r="F19"/>
  <c r="L18"/>
  <c r="J18"/>
  <c r="H18"/>
  <c r="F18"/>
  <c r="L17"/>
  <c r="J17"/>
  <c r="H17"/>
  <c r="F17"/>
  <c r="L16"/>
  <c r="J16"/>
  <c r="H16"/>
  <c r="F16"/>
  <c r="L15"/>
  <c r="J15"/>
  <c r="H15"/>
  <c r="F15"/>
  <c r="L14"/>
  <c r="J14"/>
  <c r="I14"/>
  <c r="H14"/>
  <c r="F14"/>
  <c r="L13"/>
  <c r="J13"/>
  <c r="H13"/>
  <c r="F13"/>
  <c r="L12"/>
  <c r="J12"/>
  <c r="H12"/>
  <c r="F12"/>
  <c r="L11"/>
  <c r="J11"/>
  <c r="H11"/>
  <c r="F11"/>
  <c r="L10"/>
  <c r="J10"/>
  <c r="H10"/>
  <c r="F10"/>
  <c r="L9"/>
  <c r="J9"/>
  <c r="H9"/>
  <c r="F9"/>
  <c r="Q88" i="1"/>
  <c r="O88"/>
  <c r="L88"/>
  <c r="L85" s="1"/>
  <c r="J88"/>
  <c r="K88" s="1"/>
  <c r="H88"/>
  <c r="C88"/>
  <c r="C83" s="1"/>
  <c r="Q87"/>
  <c r="K87"/>
  <c r="J87"/>
  <c r="M87" s="1"/>
  <c r="H87"/>
  <c r="C87"/>
  <c r="C82" s="1"/>
  <c r="C80" s="1"/>
  <c r="P85"/>
  <c r="O85"/>
  <c r="Q85" s="1"/>
  <c r="I85"/>
  <c r="G85"/>
  <c r="H85" s="1"/>
  <c r="F85"/>
  <c r="C85"/>
  <c r="Q83"/>
  <c r="P83"/>
  <c r="O83"/>
  <c r="L83"/>
  <c r="J83"/>
  <c r="K83" s="1"/>
  <c r="I83"/>
  <c r="G83"/>
  <c r="F83"/>
  <c r="H83" s="1"/>
  <c r="Q82"/>
  <c r="P82"/>
  <c r="O82"/>
  <c r="L82"/>
  <c r="I82"/>
  <c r="I80" s="1"/>
  <c r="H82"/>
  <c r="G82"/>
  <c r="F82"/>
  <c r="P80"/>
  <c r="Q80" s="1"/>
  <c r="O80"/>
  <c r="L80"/>
  <c r="G80"/>
  <c r="K78"/>
  <c r="D78"/>
  <c r="E78" s="1"/>
  <c r="C78"/>
  <c r="K77"/>
  <c r="D77"/>
  <c r="E77" s="1"/>
  <c r="C77"/>
  <c r="C75" s="1"/>
  <c r="C76"/>
  <c r="P75"/>
  <c r="O75"/>
  <c r="M75"/>
  <c r="L75"/>
  <c r="J75"/>
  <c r="K75" s="1"/>
  <c r="I75"/>
  <c r="G75"/>
  <c r="F75"/>
  <c r="Q73"/>
  <c r="N73"/>
  <c r="N68" s="1"/>
  <c r="M73"/>
  <c r="M68" s="1"/>
  <c r="K73"/>
  <c r="J73"/>
  <c r="H73"/>
  <c r="C73"/>
  <c r="N72"/>
  <c r="N67" s="1"/>
  <c r="M72"/>
  <c r="M70" s="1"/>
  <c r="N70" s="1"/>
  <c r="K72"/>
  <c r="D72"/>
  <c r="E72" s="1"/>
  <c r="C72"/>
  <c r="C67" s="1"/>
  <c r="C65" s="1"/>
  <c r="P70"/>
  <c r="O70"/>
  <c r="Q70" s="1"/>
  <c r="L70"/>
  <c r="K70"/>
  <c r="J70"/>
  <c r="I70"/>
  <c r="G70"/>
  <c r="H70" s="1"/>
  <c r="F70"/>
  <c r="C70"/>
  <c r="Q69"/>
  <c r="P69"/>
  <c r="O69"/>
  <c r="N69"/>
  <c r="M69"/>
  <c r="L69"/>
  <c r="K69"/>
  <c r="J69"/>
  <c r="J65" s="1"/>
  <c r="K65" s="1"/>
  <c r="I69"/>
  <c r="H69"/>
  <c r="G69"/>
  <c r="F69"/>
  <c r="D69"/>
  <c r="C69"/>
  <c r="P68"/>
  <c r="Q68" s="1"/>
  <c r="O68"/>
  <c r="L68"/>
  <c r="K68"/>
  <c r="J68"/>
  <c r="I68"/>
  <c r="H68"/>
  <c r="G68"/>
  <c r="F68"/>
  <c r="C68"/>
  <c r="Q67"/>
  <c r="P67"/>
  <c r="O67"/>
  <c r="L67"/>
  <c r="K67"/>
  <c r="J67"/>
  <c r="I67"/>
  <c r="G67"/>
  <c r="F67"/>
  <c r="F65" s="1"/>
  <c r="Q66"/>
  <c r="P66"/>
  <c r="P65" s="1"/>
  <c r="Q65" s="1"/>
  <c r="O66"/>
  <c r="N66"/>
  <c r="M66"/>
  <c r="L66"/>
  <c r="L65" s="1"/>
  <c r="K66"/>
  <c r="J66"/>
  <c r="I66"/>
  <c r="I65" s="1"/>
  <c r="H66"/>
  <c r="G66"/>
  <c r="F66"/>
  <c r="D66"/>
  <c r="C66"/>
  <c r="O65"/>
  <c r="G65"/>
  <c r="H65" s="1"/>
  <c r="N64"/>
  <c r="M64"/>
  <c r="K64"/>
  <c r="E64"/>
  <c r="D64"/>
  <c r="C64"/>
  <c r="M61"/>
  <c r="N61" s="1"/>
  <c r="K61"/>
  <c r="H61"/>
  <c r="D61"/>
  <c r="E61" s="1"/>
  <c r="C61"/>
  <c r="K60"/>
  <c r="J60"/>
  <c r="M60" s="1"/>
  <c r="H60"/>
  <c r="F60"/>
  <c r="C60"/>
  <c r="K59"/>
  <c r="E59"/>
  <c r="D59"/>
  <c r="C59"/>
  <c r="P58"/>
  <c r="O58"/>
  <c r="L58"/>
  <c r="K58"/>
  <c r="J58"/>
  <c r="I58"/>
  <c r="G58"/>
  <c r="H58" s="1"/>
  <c r="F58"/>
  <c r="C58"/>
  <c r="Q56"/>
  <c r="N56"/>
  <c r="M56"/>
  <c r="H56"/>
  <c r="E56"/>
  <c r="D56"/>
  <c r="C56"/>
  <c r="D55"/>
  <c r="C55"/>
  <c r="D54"/>
  <c r="C54"/>
  <c r="Q53"/>
  <c r="P53"/>
  <c r="O53"/>
  <c r="M53"/>
  <c r="N53" s="1"/>
  <c r="L53"/>
  <c r="J53"/>
  <c r="I53"/>
  <c r="H53"/>
  <c r="G53"/>
  <c r="F53"/>
  <c r="D53"/>
  <c r="E53" s="1"/>
  <c r="C53"/>
  <c r="Q51"/>
  <c r="M51"/>
  <c r="N51" s="1"/>
  <c r="K51"/>
  <c r="H51"/>
  <c r="D51"/>
  <c r="E51" s="1"/>
  <c r="C51"/>
  <c r="Q50"/>
  <c r="O50"/>
  <c r="N50"/>
  <c r="M50"/>
  <c r="M48" s="1"/>
  <c r="N48" s="1"/>
  <c r="L50"/>
  <c r="K50"/>
  <c r="E50"/>
  <c r="D50"/>
  <c r="C50"/>
  <c r="P48"/>
  <c r="Q48" s="1"/>
  <c r="O48"/>
  <c r="L48"/>
  <c r="K48"/>
  <c r="J48"/>
  <c r="I48"/>
  <c r="H48"/>
  <c r="G48"/>
  <c r="F48"/>
  <c r="D48"/>
  <c r="E48" s="1"/>
  <c r="C48"/>
  <c r="Q46"/>
  <c r="O46"/>
  <c r="N46"/>
  <c r="M46"/>
  <c r="D46" s="1"/>
  <c r="L46"/>
  <c r="C46" s="1"/>
  <c r="C43" s="1"/>
  <c r="K46"/>
  <c r="H46"/>
  <c r="Q45"/>
  <c r="N45"/>
  <c r="M45"/>
  <c r="M43" s="1"/>
  <c r="N43" s="1"/>
  <c r="K45"/>
  <c r="E45"/>
  <c r="D45"/>
  <c r="C45"/>
  <c r="P43"/>
  <c r="Q43" s="1"/>
  <c r="O43"/>
  <c r="L43"/>
  <c r="K43"/>
  <c r="J43"/>
  <c r="I43"/>
  <c r="H43"/>
  <c r="G43"/>
  <c r="F43"/>
  <c r="Q41"/>
  <c r="M41"/>
  <c r="N41" s="1"/>
  <c r="K41"/>
  <c r="H41"/>
  <c r="D41"/>
  <c r="E41" s="1"/>
  <c r="C41"/>
  <c r="Q40"/>
  <c r="M40"/>
  <c r="N40" s="1"/>
  <c r="K40"/>
  <c r="H40"/>
  <c r="D40"/>
  <c r="E40" s="1"/>
  <c r="C40"/>
  <c r="Q39"/>
  <c r="M39"/>
  <c r="N39" s="1"/>
  <c r="K39"/>
  <c r="H39"/>
  <c r="D39"/>
  <c r="E39" s="1"/>
  <c r="C39"/>
  <c r="P38"/>
  <c r="O38"/>
  <c r="Q38" s="1"/>
  <c r="L38"/>
  <c r="K38"/>
  <c r="J38"/>
  <c r="I38"/>
  <c r="G38"/>
  <c r="H38" s="1"/>
  <c r="F38"/>
  <c r="C38"/>
  <c r="Q37"/>
  <c r="N37"/>
  <c r="N23" s="1"/>
  <c r="D37"/>
  <c r="C37"/>
  <c r="Q34"/>
  <c r="O34"/>
  <c r="O20" s="1"/>
  <c r="M34"/>
  <c r="N34" s="1"/>
  <c r="K34"/>
  <c r="J34"/>
  <c r="H34"/>
  <c r="C34"/>
  <c r="O33"/>
  <c r="Q33" s="1"/>
  <c r="N33"/>
  <c r="K33"/>
  <c r="J33"/>
  <c r="H33"/>
  <c r="F33"/>
  <c r="F19" s="1"/>
  <c r="D33"/>
  <c r="C33"/>
  <c r="E33" s="1"/>
  <c r="Q32"/>
  <c r="J32"/>
  <c r="K32" s="1"/>
  <c r="H32"/>
  <c r="C32"/>
  <c r="C31" s="1"/>
  <c r="P31"/>
  <c r="L31"/>
  <c r="J31"/>
  <c r="K31" s="1"/>
  <c r="I31"/>
  <c r="G31"/>
  <c r="F31"/>
  <c r="H31" s="1"/>
  <c r="D30"/>
  <c r="C30"/>
  <c r="Q27"/>
  <c r="O27"/>
  <c r="L27"/>
  <c r="J27"/>
  <c r="K27" s="1"/>
  <c r="H27"/>
  <c r="C27"/>
  <c r="Q26"/>
  <c r="D26"/>
  <c r="C26"/>
  <c r="C24" s="1"/>
  <c r="Q24"/>
  <c r="P24"/>
  <c r="O24"/>
  <c r="L24"/>
  <c r="J24"/>
  <c r="K24" s="1"/>
  <c r="I24"/>
  <c r="G24"/>
  <c r="F24"/>
  <c r="H24" s="1"/>
  <c r="Q23"/>
  <c r="P23"/>
  <c r="O23"/>
  <c r="M23"/>
  <c r="L23"/>
  <c r="J23"/>
  <c r="I23"/>
  <c r="K23" s="1"/>
  <c r="G23"/>
  <c r="F23"/>
  <c r="D23"/>
  <c r="Q21"/>
  <c r="P21"/>
  <c r="O21"/>
  <c r="O15" s="1"/>
  <c r="M21"/>
  <c r="M15" s="1"/>
  <c r="L21"/>
  <c r="J21"/>
  <c r="I21"/>
  <c r="I15" s="1"/>
  <c r="G21"/>
  <c r="G15" s="1"/>
  <c r="F21"/>
  <c r="D21"/>
  <c r="C21"/>
  <c r="C15" s="1"/>
  <c r="P20"/>
  <c r="L20"/>
  <c r="J20"/>
  <c r="K20" s="1"/>
  <c r="I20"/>
  <c r="I14" s="1"/>
  <c r="G20"/>
  <c r="F20"/>
  <c r="H20" s="1"/>
  <c r="P19"/>
  <c r="P13" s="1"/>
  <c r="L19"/>
  <c r="L13" s="1"/>
  <c r="I19"/>
  <c r="I17" s="1"/>
  <c r="G19"/>
  <c r="P18"/>
  <c r="Q18" s="1"/>
  <c r="O18"/>
  <c r="O12" s="1"/>
  <c r="L18"/>
  <c r="L17" s="1"/>
  <c r="I18"/>
  <c r="H18"/>
  <c r="G18"/>
  <c r="G12" s="1"/>
  <c r="F18"/>
  <c r="G17"/>
  <c r="P15"/>
  <c r="L15"/>
  <c r="F15"/>
  <c r="D15"/>
  <c r="P14"/>
  <c r="L14"/>
  <c r="G14"/>
  <c r="G13"/>
  <c r="F12"/>
  <c r="Q20" l="1"/>
  <c r="O14"/>
  <c r="E46"/>
  <c r="D43"/>
  <c r="E43" s="1"/>
  <c r="H13"/>
  <c r="N87"/>
  <c r="D87"/>
  <c r="M82"/>
  <c r="H12"/>
  <c r="G11"/>
  <c r="H19"/>
  <c r="F17"/>
  <c r="F13"/>
  <c r="N60"/>
  <c r="M58"/>
  <c r="N58" s="1"/>
  <c r="D60"/>
  <c r="E60" s="1"/>
  <c r="M19"/>
  <c r="H17"/>
  <c r="Q14"/>
  <c r="C20"/>
  <c r="C14" s="1"/>
  <c r="I12"/>
  <c r="I11" s="1"/>
  <c r="J15"/>
  <c r="C18"/>
  <c r="C23"/>
  <c r="E23" s="1"/>
  <c r="M27"/>
  <c r="D34"/>
  <c r="E34" s="1"/>
  <c r="D75"/>
  <c r="E75" s="1"/>
  <c r="J85"/>
  <c r="K85" s="1"/>
  <c r="M88"/>
  <c r="L12"/>
  <c r="L11" s="1"/>
  <c r="P12"/>
  <c r="I13"/>
  <c r="F14"/>
  <c r="H14" s="1"/>
  <c r="J14"/>
  <c r="K14" s="1"/>
  <c r="J18"/>
  <c r="C19"/>
  <c r="C13" s="1"/>
  <c r="O19"/>
  <c r="E26"/>
  <c r="M32"/>
  <c r="M38"/>
  <c r="N38" s="1"/>
  <c r="D67"/>
  <c r="E67" s="1"/>
  <c r="M67"/>
  <c r="M65" s="1"/>
  <c r="N65" s="1"/>
  <c r="D73"/>
  <c r="F80"/>
  <c r="H80" s="1"/>
  <c r="P17"/>
  <c r="J19"/>
  <c r="O31"/>
  <c r="Q31" s="1"/>
  <c r="D32"/>
  <c r="D38"/>
  <c r="E38" s="1"/>
  <c r="D70"/>
  <c r="E70" s="1"/>
  <c r="J82"/>
  <c r="K82" l="1"/>
  <c r="J80"/>
  <c r="K80" s="1"/>
  <c r="Q19"/>
  <c r="O17"/>
  <c r="O13"/>
  <c r="M83"/>
  <c r="N83" s="1"/>
  <c r="N88"/>
  <c r="M24"/>
  <c r="N24" s="1"/>
  <c r="M20"/>
  <c r="N27"/>
  <c r="E32"/>
  <c r="D31"/>
  <c r="E31" s="1"/>
  <c r="E87"/>
  <c r="D82"/>
  <c r="M85"/>
  <c r="N85" s="1"/>
  <c r="D88"/>
  <c r="Q17"/>
  <c r="D58"/>
  <c r="E58" s="1"/>
  <c r="K19"/>
  <c r="D19"/>
  <c r="J13"/>
  <c r="K13" s="1"/>
  <c r="K18"/>
  <c r="J17"/>
  <c r="K17" s="1"/>
  <c r="J12"/>
  <c r="Q12"/>
  <c r="P11"/>
  <c r="C17"/>
  <c r="C12"/>
  <c r="C11" s="1"/>
  <c r="N82"/>
  <c r="M80"/>
  <c r="N80" s="1"/>
  <c r="E73"/>
  <c r="D68"/>
  <c r="M18"/>
  <c r="D18" s="1"/>
  <c r="M31"/>
  <c r="N31" s="1"/>
  <c r="N19"/>
  <c r="M13"/>
  <c r="N13" s="1"/>
  <c r="D27"/>
  <c r="F11"/>
  <c r="H11" s="1"/>
  <c r="E18" l="1"/>
  <c r="D12"/>
  <c r="M14"/>
  <c r="N14" s="1"/>
  <c r="N20"/>
  <c r="D20"/>
  <c r="Q13"/>
  <c r="O11"/>
  <c r="D13"/>
  <c r="E13" s="1"/>
  <c r="E19"/>
  <c r="E88"/>
  <c r="D83"/>
  <c r="E83" s="1"/>
  <c r="Q11"/>
  <c r="D85"/>
  <c r="E85" s="1"/>
  <c r="E68"/>
  <c r="D65"/>
  <c r="E65" s="1"/>
  <c r="K12"/>
  <c r="J11"/>
  <c r="K11" s="1"/>
  <c r="E82"/>
  <c r="D80"/>
  <c r="E80" s="1"/>
  <c r="E27"/>
  <c r="D24"/>
  <c r="E24" s="1"/>
  <c r="N18"/>
  <c r="M17"/>
  <c r="N17" s="1"/>
  <c r="M12"/>
  <c r="E20" l="1"/>
  <c r="D14"/>
  <c r="E14" s="1"/>
  <c r="D17"/>
  <c r="E17" s="1"/>
  <c r="N12"/>
  <c r="M11"/>
  <c r="N11" s="1"/>
  <c r="E12"/>
  <c r="D11"/>
  <c r="E11" s="1"/>
</calcChain>
</file>

<file path=xl/comments1.xml><?xml version="1.0" encoding="utf-8"?>
<comments xmlns="http://schemas.openxmlformats.org/spreadsheetml/2006/main">
  <authors>
    <author>tc={D5C27AB0-C766-7AE3-37AF-A0E22922017E}</author>
    <author>tc={26FBCE45-B405-1EEF-C7CA-5C8BF35260B8}</author>
    <author>tc={5272AF3D-9794-D672-DE9B-6AADB212D641}</author>
    <author>tc={993899C6-4A9F-04FB-F94A-F404FF7D1526}</author>
    <author>tc={E30CE63C-7F7D-BD44-87A0-C4C2B6005FD9}</author>
    <author>tc={860D88AE-4C2B-17DE-7ED1-8B032D4E2989}</author>
  </authors>
  <commentList>
    <comment ref="J19" authorId="0">
      <text>
        <r>
          <rPr>
            <b/>
            <sz val="9"/>
            <rFont val="Tahoma"/>
          </rPr>
          <t>Храмцова:</t>
        </r>
        <r>
          <rPr>
            <sz val="9"/>
            <rFont val="Tahoma"/>
          </rPr>
          <t xml:space="preserve">
Недостижение (менее 95%), необходимо корректировать план
</t>
        </r>
      </text>
    </comment>
    <comment ref="J20" authorId="1">
      <text>
        <r>
          <rPr>
            <b/>
            <sz val="9"/>
            <rFont val="Tahoma"/>
          </rPr>
          <t>Храмцова:</t>
        </r>
        <r>
          <rPr>
            <sz val="9"/>
            <rFont val="Tahoma"/>
          </rPr>
          <t xml:space="preserve">
Перевыполнение (более 100%), необходимо корректировать план
</t>
        </r>
      </text>
    </comment>
    <comment ref="J21" authorId="2">
      <text>
        <r>
          <rPr>
            <b/>
            <sz val="9"/>
            <rFont val="Tahoma"/>
          </rPr>
          <t>Храмцова:</t>
        </r>
        <r>
          <rPr>
            <sz val="9"/>
            <rFont val="Tahoma"/>
          </rPr>
          <t xml:space="preserve">
Недостижение (менее 95%)
</t>
        </r>
      </text>
    </comment>
    <comment ref="J22" authorId="3">
      <text>
        <r>
          <rPr>
            <b/>
            <sz val="9"/>
            <rFont val="Tahoma"/>
          </rPr>
          <t>Храмцова:</t>
        </r>
        <r>
          <rPr>
            <sz val="9"/>
            <rFont val="Tahoma"/>
          </rPr>
          <t xml:space="preserve">
Перевыполнен (Более 110%)
</t>
        </r>
      </text>
    </comment>
    <comment ref="J23" authorId="4">
      <text>
        <r>
          <rPr>
            <b/>
            <sz val="9"/>
            <rFont val="Tahoma"/>
          </rPr>
          <t>Храмцова:</t>
        </r>
        <r>
          <rPr>
            <sz val="9"/>
            <rFont val="Tahoma"/>
          </rPr>
          <t xml:space="preserve">
Перевыполнен (Более 110%)
</t>
        </r>
      </text>
    </comment>
    <comment ref="J24" authorId="5">
      <text>
        <r>
          <rPr>
            <b/>
            <sz val="9"/>
            <rFont val="Tahoma"/>
          </rPr>
          <t>Храмцова:</t>
        </r>
        <r>
          <rPr>
            <sz val="9"/>
            <rFont val="Tahoma"/>
          </rPr>
          <t xml:space="preserve">
перевыполнение (более 110%)
</t>
        </r>
      </text>
    </comment>
  </commentList>
</comments>
</file>

<file path=xl/sharedStrings.xml><?xml version="1.0" encoding="utf-8"?>
<sst xmlns="http://schemas.openxmlformats.org/spreadsheetml/2006/main" count="326" uniqueCount="196">
  <si>
    <t>Таблица 1</t>
  </si>
  <si>
    <t>ОТЧЕТ</t>
  </si>
  <si>
    <r>
      <t xml:space="preserve">о ходе исполнения комплексного плана (сетевого графика) реализации муниципальной программы "Развитие образования и молодежной политики в городе Урай" </t>
    </r>
    <r>
      <rPr>
        <u/>
        <sz val="12"/>
        <rFont val="Times New Roman"/>
      </rPr>
      <t>за 9 месяцев 2025 года</t>
    </r>
  </si>
  <si>
    <t xml:space="preserve"> (отчетный период) </t>
  </si>
  <si>
    <t>№</t>
  </si>
  <si>
    <t>Основные структурные элементы муниципальной программы/источник финансового обеспечения</t>
  </si>
  <si>
    <t>Объем финансового обеспечения, тыс. рублей</t>
  </si>
  <si>
    <r>
      <t>Информация об исполнении/ не исполнении структурного элемента</t>
    </r>
    <r>
      <rPr>
        <vertAlign val="superscript"/>
        <sz val="10"/>
        <rFont val="Times New Roman"/>
      </rPr>
      <t>1</t>
    </r>
  </si>
  <si>
    <t>Финансовый год</t>
  </si>
  <si>
    <t>I квартал</t>
  </si>
  <si>
    <t>II квартал</t>
  </si>
  <si>
    <t>III квартал</t>
  </si>
  <si>
    <t>IV квартал</t>
  </si>
  <si>
    <t xml:space="preserve">План
(уточненный)
</t>
  </si>
  <si>
    <t>Кассовое исполнение</t>
  </si>
  <si>
    <t xml:space="preserve">Исполнение, %
(гр.4/гр.3)*100
</t>
  </si>
  <si>
    <t xml:space="preserve">Исполнение, %
(гр.7/гр.6)*100
</t>
  </si>
  <si>
    <t xml:space="preserve">Исполнение, %
(гр.10/гр.9)*100
</t>
  </si>
  <si>
    <t xml:space="preserve">Исполнение, %
(гр.13/гр.12)*100
</t>
  </si>
  <si>
    <t xml:space="preserve">Исполнение, %
(гр.16/гр.15)*100
</t>
  </si>
  <si>
    <t>Муниципальная программа (всего), в том числе:</t>
  </si>
  <si>
    <t>Межбюджетные трансферты из федерального бюджета</t>
  </si>
  <si>
    <t>Межбюджетные трансферты из бюджета автономного округа</t>
  </si>
  <si>
    <t>Местный бюджет</t>
  </si>
  <si>
    <t>Иные источники финансирования (указать)</t>
  </si>
  <si>
    <t>Объем налоговых расходов муниципального образования (справочно)</t>
  </si>
  <si>
    <t xml:space="preserve">1. </t>
  </si>
  <si>
    <t>Направление (подпрограмма) «Дошкольное, общее, дополнительное образование, воспитание и организация отдыха и оздоровления детей»</t>
  </si>
  <si>
    <t>СПРАВОЧНО:</t>
  </si>
  <si>
    <t>Остатки прошлых лет</t>
  </si>
  <si>
    <t>1.1.</t>
  </si>
  <si>
    <t>Комплекс процессных мероприятий «Развитие современной инфраструктуры» (всего), в том числе:</t>
  </si>
  <si>
    <t>По кап. ремонту МБДОУ № 10 неисполнение составило  1 138,6 тыс.руб. денежные средства предусмотрены для разработки  ПСД системы видеонаблюдения, готовится техническое задание ориентировочный срок заключения контракта 20.11.2025 . Заключен договор на перенос сетей водоснабжения на территории СОШ № 6 в сумме 600 тыс.руб.со сроком исполнения в октябрь месяц. По капитальному ремонту МБУ ДО ЦДО экономия по факту выполнения работ составила  1 104,0 тыс. руб. – средства к перераспределению. Имеется экономия по факту заключения договоров на сумму 235,2 тыс.руб. (испытание пожарных лестниц и ограждения кровли - 81,3 тыс.руб. в МБДОУ № 10, 16 тыс.руб. в МБДОУ № 12; расчет пожарных рисков - 50 тыс. руб. МБДОУ № 12; приобретение светильников  аварийного освещения - 0,3 тыс. руб. МБДОУ № 12; замена деревянных оконных блоков - 85 тыс. руб. МБДОУ № 21;  поверка узлов учета, весов - 2,6 тыс. руб. МБДОУ № 7) Неисполнение в размере 207,8 тыс. руб. связано с мониторингом цен для формирования пакета документов, заключение планируется в 4 квартале 2025 г.</t>
  </si>
  <si>
    <t>1.1.1.</t>
  </si>
  <si>
    <t>1.1.2.</t>
  </si>
  <si>
    <t>1.1.3.</t>
  </si>
  <si>
    <t>1.1.4.</t>
  </si>
  <si>
    <t>1.2.</t>
  </si>
  <si>
    <t>Комплекс процессных мероприятий «Содействие развитию дошкольного и общего образования» (всего), в том числе:</t>
  </si>
  <si>
    <r>
      <t xml:space="preserve">
Неисполнение плана данного структурного элементапо организации питания по причине карантинных мероприятий и открытых больничных листов обучающихся и воспитанников. Неисполнение плана по муниципальному заданию образовательных учреждений сложилось по фактическим расходам на коммунальные услуги. По расходам, направленным на олимпиады, сложилась экономия, которая будет перераспределена на участие медкласа СОШ № 4 в профильной смене "Первые шаги к профессии медицинского работника в г. Ханты-Мансийск и обучающихся СОШ №6 в цикле "Школьное инициативное бюджетирование в ОО ХМАО-Югры" в г. Сургут (освоение 4 квартал 2025 г.). </t>
    </r>
    <r>
      <rPr>
        <i/>
        <sz val="10"/>
        <color theme="1"/>
        <rFont val="Times New Roman"/>
      </rPr>
      <t>Сложилась экономия по мероприятию спартакиада "Старты надежд".</t>
    </r>
  </si>
  <si>
    <t>1.2.1.</t>
  </si>
  <si>
    <t>1.2.2.</t>
  </si>
  <si>
    <t>1.2.3.</t>
  </si>
  <si>
    <t>1.2.4.</t>
  </si>
  <si>
    <t>1.3.</t>
  </si>
  <si>
    <t>Региональный проект «Педагоги и наставники» (всего), в том числе:</t>
  </si>
  <si>
    <t>Неисполнение плана по данному структурному элементу произошло по причине открытых листов нетрудоспособности педагогических работников общеобразовательных учреждений, начисленной заработной платы за фактически отработанное время.</t>
  </si>
  <si>
    <t>1.3.1.</t>
  </si>
  <si>
    <t>1.3.2.</t>
  </si>
  <si>
    <t>1.3.3.</t>
  </si>
  <si>
    <t>1.3.4.</t>
  </si>
  <si>
    <t>Иные источники финансирования</t>
  </si>
  <si>
    <t>1.4.</t>
  </si>
  <si>
    <t>Комплекс процессных мероприятий «Содействие развитию дополнительного образования детей, воспитания» (всего), в том числе:</t>
  </si>
  <si>
    <t>Неисполнение по направлению доп.образования в рамках сертификатов ПФДО сложилогсь на основании фактически заключенных договоров о предоставлении услуг по образовательным программам.Средства,выделенные на оформление пространства подросткового клуба, будут освоены в 4 квартале 2025 г. в связи с поиском поставщика на выделенные средста.</t>
  </si>
  <si>
    <t>1.4.1.</t>
  </si>
  <si>
    <t>1.4.2.</t>
  </si>
  <si>
    <t>1.4.3.</t>
  </si>
  <si>
    <t>1.4.4.</t>
  </si>
  <si>
    <t>1.5.</t>
  </si>
  <si>
    <t>Комплекс процессных мероприятий «Содействие развитию летнего отдыха и оздоровления» (всего), в том числе:</t>
  </si>
  <si>
    <t>Экономия по исполнению данного структурного элемента сложилась ввиду фактически сложившихся расходов на страховку детей и оплату мед.осмотров педагогического персонала, а также уменьшение количества дето-дней питания (болезни детей). Оплата расходов производилась по факту понесенных расходов.</t>
  </si>
  <si>
    <t>1.5.1.</t>
  </si>
  <si>
    <t>1.5.2.</t>
  </si>
  <si>
    <t>1.5.3.</t>
  </si>
  <si>
    <t>1.5.4.</t>
  </si>
  <si>
    <t>1.6.</t>
  </si>
  <si>
    <t>Комплекс процессных мероприятий «Содействие развитию кадрового потенциала» (всего), в том числе:</t>
  </si>
  <si>
    <r>
      <t xml:space="preserve">Экономия средств сложилась по факту понесенных расходов в рамках проведенных мероприятий: </t>
    </r>
    <r>
      <rPr>
        <i/>
        <sz val="10"/>
        <color theme="1"/>
        <rFont val="Times New Roman"/>
      </rPr>
      <t>ГАПС, Региональный этап "Педагог года Югры".</t>
    </r>
  </si>
  <si>
    <t>1.6.1.</t>
  </si>
  <si>
    <t>1.6.2.</t>
  </si>
  <si>
    <t>1.6.3.</t>
  </si>
  <si>
    <t>1.6.4.</t>
  </si>
  <si>
    <t>1.7.</t>
  </si>
  <si>
    <t>Региональный проект «Создание условий для обучения, отдыха и оздоровления детей и молодежи» (всего), в том числе:</t>
  </si>
  <si>
    <t xml:space="preserve">За счет данного структурного элемента финансируется объект: "Средняя школа в мкр.1А" . По итогам 9 месяцев сложилась экономия в результате торгов по поставке оборудования в сумме 104 666,1 тыс.руб. </t>
  </si>
  <si>
    <t>1.7.1.</t>
  </si>
  <si>
    <t>1.7.2.</t>
  </si>
  <si>
    <t>1.7.3.</t>
  </si>
  <si>
    <t>1.7.4.</t>
  </si>
  <si>
    <t>2.</t>
  </si>
  <si>
    <t>Направление (подпрограмма) «Молодежная политика» (всего), в том числе:</t>
  </si>
  <si>
    <r>
      <rPr>
        <i/>
        <sz val="10"/>
        <color theme="1"/>
        <rFont val="Times New Roman"/>
      </rPr>
      <t>Экономия по окружным средствам сложилась по факту выплаты заработной платы подросткам (трудовые отряды). Неисрасходованы средства на участие во Всероссийском фестивале молодежи в виду отсутвия заявки на город Урай от организаторов.</t>
    </r>
    <r>
      <rPr>
        <sz val="10"/>
        <color theme="1"/>
        <rFont val="Times New Roman"/>
      </rPr>
      <t xml:space="preserve"> </t>
    </r>
  </si>
  <si>
    <t>2.1.</t>
  </si>
  <si>
    <t>Комплекс процессных мероприятий «Реализация молодежной политики и развитие инфраструктуры молодежной политики» (всего), в том числе:</t>
  </si>
  <si>
    <t>2.1.1.</t>
  </si>
  <si>
    <t>2.1.2.</t>
  </si>
  <si>
    <t>2.1.3.</t>
  </si>
  <si>
    <t>2.1.4.</t>
  </si>
  <si>
    <t>2.2.</t>
  </si>
  <si>
    <t>Региональный проект «Россия - страна возможностей» (всего), в</t>
  </si>
  <si>
    <t>2.2.1.</t>
  </si>
  <si>
    <t>2.2.2.</t>
  </si>
  <si>
    <t>2.2.3.</t>
  </si>
  <si>
    <t>2.2.4.</t>
  </si>
  <si>
    <t>3.</t>
  </si>
  <si>
    <t xml:space="preserve">Структурные элементы, не входящие в направления </t>
  </si>
  <si>
    <t xml:space="preserve">I. Экономия сложилась по фактической выплаченной заработной плате аппарата Управления образования по следующим причинам:  1) за счет выхода эксперта отдела по организационным и правовым вопросам в отпуск по беременности и родам (с апреля). 2) за счет открытых листов нетрудоспособности.  II. Также неисполнение плана расходов на меры социальной поддержки детям из семей участников СВО (компенсация проезда в городском транспорте) сформировалось на основании фактически предоставленной меры социальной поддержки. Так как данная мера имеет заявительный характер и не все имеющие право на получение выплаты подали заявление, образовалась экономия. </t>
  </si>
  <si>
    <t>3.1.</t>
  </si>
  <si>
    <t xml:space="preserve">Комплекс процессных мероприятий «Обеспечение деятельности 
Управления образования администрации города Урай» (всего), в том числе:
</t>
  </si>
  <si>
    <t>3.1.1.</t>
  </si>
  <si>
    <t>3.1.2.</t>
  </si>
  <si>
    <t>3.1.3.</t>
  </si>
  <si>
    <t>3.1.4.</t>
  </si>
  <si>
    <r>
      <t>1</t>
    </r>
    <r>
      <rPr>
        <sz val="10"/>
        <rFont val="Times New Roman"/>
      </rPr>
      <t>Приводится информация (отчет) о реализации структурных элементов за отчетный период, о причинах отклонения кассового исполнения объема финансирования структурного элемента от плана финансирования, установленного на отчетный период.</t>
    </r>
  </si>
  <si>
    <t>Таблица 2</t>
  </si>
  <si>
    <t>о достижении показателей муниципальной программы в 2025 году</t>
  </si>
  <si>
    <t>Наименование показателя муниципальной программы</t>
  </si>
  <si>
    <t>Ед. изм.</t>
  </si>
  <si>
    <t>Значение показателя муниципальной программы</t>
  </si>
  <si>
    <r>
      <t>Признак возрастания/
убывания</t>
    </r>
    <r>
      <rPr>
        <vertAlign val="superscript"/>
        <sz val="10"/>
        <color theme="1"/>
        <rFont val="Times New Roman"/>
      </rPr>
      <t>2</t>
    </r>
    <r>
      <rPr>
        <sz val="10"/>
        <color theme="1"/>
        <rFont val="Times New Roman"/>
      </rPr>
      <t xml:space="preserve">
(В/У)</t>
    </r>
  </si>
  <si>
    <r>
      <t>Примечание</t>
    </r>
    <r>
      <rPr>
        <vertAlign val="superscript"/>
        <sz val="10"/>
        <color theme="1"/>
        <rFont val="Times New Roman"/>
      </rPr>
      <t>3</t>
    </r>
  </si>
  <si>
    <t xml:space="preserve">отчетный год
(план)
</t>
  </si>
  <si>
    <t xml:space="preserve">I квартал
(факт)  
</t>
  </si>
  <si>
    <r>
      <t>Степень достижения показателя</t>
    </r>
    <r>
      <rPr>
        <vertAlign val="superscript"/>
        <sz val="10"/>
        <color theme="1"/>
        <rFont val="Times New Roman"/>
      </rPr>
      <t>1</t>
    </r>
    <r>
      <rPr>
        <sz val="10"/>
        <color theme="1"/>
        <rFont val="Times New Roman"/>
      </rPr>
      <t xml:space="preserve">, %
(гр.5/гр.4)*
100
</t>
    </r>
  </si>
  <si>
    <t xml:space="preserve">II квартал
(факт)  
</t>
  </si>
  <si>
    <r>
      <t>Степень достижения показателя</t>
    </r>
    <r>
      <rPr>
        <vertAlign val="superscript"/>
        <sz val="10"/>
        <color theme="1"/>
        <rFont val="Times New Roman"/>
      </rPr>
      <t>1</t>
    </r>
    <r>
      <rPr>
        <sz val="10"/>
        <color theme="1"/>
        <rFont val="Times New Roman"/>
      </rPr>
      <t xml:space="preserve">, %
(гр.7/гр.4)*
100
</t>
    </r>
  </si>
  <si>
    <t xml:space="preserve">III  квартал
(факт)  
</t>
  </si>
  <si>
    <r>
      <t>Степень достижения показателя</t>
    </r>
    <r>
      <rPr>
        <vertAlign val="superscript"/>
        <sz val="10"/>
        <color theme="1"/>
        <rFont val="Times New Roman"/>
      </rPr>
      <t>1</t>
    </r>
    <r>
      <rPr>
        <sz val="10"/>
        <color theme="1"/>
        <rFont val="Times New Roman"/>
      </rPr>
      <t xml:space="preserve">, %
(гр.9/гр.4)*
100
</t>
    </r>
  </si>
  <si>
    <t xml:space="preserve">отчетный год
(факт)
</t>
  </si>
  <si>
    <r>
      <t>Степень достижения показателя</t>
    </r>
    <r>
      <rPr>
        <vertAlign val="superscript"/>
        <sz val="10"/>
        <color theme="1"/>
        <rFont val="Times New Roman"/>
      </rPr>
      <t>1</t>
    </r>
    <r>
      <rPr>
        <sz val="10"/>
        <color theme="1"/>
        <rFont val="Times New Roman"/>
      </rPr>
      <t xml:space="preserve">, %
(гр.11/гр.4)*
100
</t>
    </r>
  </si>
  <si>
    <t>Цель 1</t>
  </si>
  <si>
    <t>1.</t>
  </si>
  <si>
    <t xml:space="preserve">Доля  детей   в возрасте от 1 до  6 лет, получающих дошкольную образовательную услугу  и (или) услугу  по  их
содержанию  в муниципальных образовательных организациях, в общей численности детей в возрасте от 1 до 6 лет
</t>
  </si>
  <si>
    <t>%</t>
  </si>
  <si>
    <t>Численность  1515 человек в ДОО, общее количество 1830, 317 стоят в очереди, итого 2147</t>
  </si>
  <si>
    <t>Доля обучающихся в муниципальных общеобразовательн ых  организациях, занимающихся во вторую  (третью) смену, в     общей численности обучающихся  в муниципальных общеобразовательн ых организациях</t>
  </si>
  <si>
    <t>722 обучающихся со 2 смены из 5050 человек</t>
  </si>
  <si>
    <t>Доля муниципальных общеобразовательн ых организаций, здания которых находятся   в аварийном состоянии  или требуют капитального ремонта,  в  общем числе муниципальных общеобразовательн ых организаций</t>
  </si>
  <si>
    <t xml:space="preserve">МБОУ СОШ №12. Заключен договор на разработу проектно-сметной документации </t>
  </si>
  <si>
    <t>4.</t>
  </si>
  <si>
    <t xml:space="preserve">Доля муниципальных дошкольных образовательных организаций, здания которых находятся   в аварийном состоянии  или требуют капитального ремонта,  в  общем числе муниципальных дошкольных образовательных организаций
</t>
  </si>
  <si>
    <t xml:space="preserve">Разработана проектно-сметная документация  по капитальному ремонту  МБДОУ №12 </t>
  </si>
  <si>
    <t>5.</t>
  </si>
  <si>
    <t>Доля детей в возрасте от 5 до 18 лет, охваченных дополнительным образованием</t>
  </si>
  <si>
    <t>8301 человек от общей численности 8689</t>
  </si>
  <si>
    <t>6.</t>
  </si>
  <si>
    <t xml:space="preserve"> Расходы бюджета муниципального образования на общее образование в расчете на 1 обучающегося в муниципальных общеобразовательных организациях</t>
  </si>
  <si>
    <t>тыс. руб.</t>
  </si>
  <si>
    <t>Из расчета на 5 160 человек (согласно МЗ)</t>
  </si>
  <si>
    <t>7.</t>
  </si>
  <si>
    <t>Доля детей и молодежи в возрасте от 7 до 35 лет, у которых выявлены выдающиеся способности и таланты, %</t>
  </si>
  <si>
    <t xml:space="preserve">количество человек, сведения о которых внесены            в ГИР - 126 чел. </t>
  </si>
  <si>
    <t>8.</t>
  </si>
  <si>
    <t>Доля обучающихся 6-11 классов, охваченных комплексом профориентационных мероприятий в рамках Единой модели профориентации, %</t>
  </si>
  <si>
    <t>Количество обучающихся 6-11 классов, охваченных комплексом профориентационных мероприятий в рамках Единой модели профориентации - 368 чел.</t>
  </si>
  <si>
    <t>9.</t>
  </si>
  <si>
    <t xml:space="preserve">Доля педагогических работников общеобразовательных организаций, прошедших повышение квалификации, в том числе в центрах непрерывного повышения профессионального мастерства
</t>
  </si>
  <si>
    <t>49 педагогов прошли КПК</t>
  </si>
  <si>
    <t>10.</t>
  </si>
  <si>
    <t>Доля детей первой и второй групп здоровья  в  общей численности обучающихся  в муниципальных общеобразовательн ых организациях</t>
  </si>
  <si>
    <t xml:space="preserve">Снижение показателя обусловлено увеличением количества обучающихся с хроническими заболеваниями. </t>
  </si>
  <si>
    <t>11.</t>
  </si>
  <si>
    <t xml:space="preserve">Доля граждан, вовлеченных в добровольческую (волонтерскую) деятельность
</t>
  </si>
  <si>
    <t>Показатель  характеризует уровень заинтерисованности молодежи Российской Федерации в осуществлении добровольческой и общественной деятельности
D=V/N*100%, где:
V- общая численность добровольцев (волонтеров), вовлеченных в добровольческую (волонтерскую) деятельность;
N- численность населения в возрасте от 7 лет и старше в отчетном периоде. (Тюменьстат от 7-100 на 01.01.2024 - 37820 человек)</t>
  </si>
  <si>
    <t>12.</t>
  </si>
  <si>
    <t>Доля детей  в возрасте  от  14  до 18 лет, охваченных деятельностью молодежных трудовых отрядов</t>
  </si>
  <si>
    <t>Показатель характеризует удельный вес численности детей от 14 до 18 лет,охваченных деятельностью молодежных трудовых отрядов, к общей численности детей в возрасте от 14 до 18 лет. 
Mt=RF/SA*100%, где:
RF – численность детей в возрасте от 14 до 18 лет, охваченных деятельностью молодежных трудовых отрядов. (200 человек: 68-июнь, 66-июль, 66-август)
SA – общая численность детей в возрасте от 14 до 18 лет, проживающих на территории города Урай, не включая детей 18 лет. (2365 человек Тюменьстат на 01.01.2024)</t>
  </si>
  <si>
    <t>13.</t>
  </si>
  <si>
    <t xml:space="preserve">Доля молодых людей, вовлеченных в мероприятия, направленные на профессиональное развитие </t>
  </si>
  <si>
    <t>D=V/N*100, где:
V-общая численность молодых людей в возрасте от 14 до 35 лет включительно, принявших участие в проектах и программах, направленных на профессиональное, личностное развитие, реализованных органами местного самоуправления на конец отчетного месяца/года нарастающим итогом с начала отчетного года;
N- численность населения в возрасте от 14 до 35 лет включительно на начало года, предшествующего отчетному</t>
  </si>
  <si>
    <t>14.</t>
  </si>
  <si>
    <t xml:space="preserve">Охват молодежи мероприятиями, проводимыми на базе инфраструктуры молодежной политики </t>
  </si>
  <si>
    <t>D=V/N*100, где:
V-фактическая численность молодых людей в возрасте от 14 до 35 лет включительно, принявших участие в проектах и программах, реализованных объектами инфраструктуры молодежной политики на конец отчетного месяца/года нарастающим итогом с начала отчетного года;
N-численность населения в возрасте от 14 до 35 лет включительно на начало года, предшествующего отчетному</t>
  </si>
  <si>
    <t>15.</t>
  </si>
  <si>
    <t xml:space="preserve">Доля молодых людей, участвующих в проектах и программах, направленных на патриотическое воспитание </t>
  </si>
  <si>
    <t xml:space="preserve">D=V/N*100, где:
V-общая численность людей в возрасте 14-35 лет включительно, принявших участие в проектах и программах, направленных на патриотическое воспитание, реализованных органами местного самоуправления;
N-численность населения в возрасте  от 14 до 35 лет включительно, на начало года, предшествующего отчетному.
</t>
  </si>
  <si>
    <t>16.</t>
  </si>
  <si>
    <t>Доля молодых семей, в том числе молодых семей, имеющих детей, участвующих в мероприятиях по продвижению традиционных духовно-нравственных ценностей, в том числе в проектах и программах, направленных на патриотическое воспитание, в добровольческой и общественной деятельности</t>
  </si>
  <si>
    <t xml:space="preserve">D=V/N*100, где:
V- фактическое количество молодых семей, принявших участие в мероприятиях, направленных на продвижение традиционных духовно-нравственных ценностей, в проектах и программах, направленных на патриотическое воспитание, вовлечение в добровольческую и общественную деятельность, реализованных органами местного самоуправления. 
N-общее число молодых семей по итогам Всероссийской переписи населения 2020 года.
</t>
  </si>
  <si>
    <t>Цель 2</t>
  </si>
  <si>
    <t>Показатель 1</t>
  </si>
  <si>
    <t>Показатель N</t>
  </si>
  <si>
    <r>
      <rPr>
        <vertAlign val="superscript"/>
        <sz val="10"/>
        <color theme="1"/>
        <rFont val="Times New Roman"/>
      </rPr>
      <t xml:space="preserve">1 </t>
    </r>
    <r>
      <rPr>
        <sz val="10"/>
        <color theme="1"/>
        <rFont val="Times New Roman"/>
      </rPr>
      <t xml:space="preserve">Расчет степени достижения целевого показателя осуществляется по следующей формуле: 
1) Для возрастающего показателя  факт/план*100 (положительной динамикой является увеличение значения показателя).
2) Для убывающего показателя  (100-факт/план*100)+100 (положительной динамикой является снижение значения показателя).
3) Для показателя, плановое значение которого установлено в интервале не менее/не более пограничного значения, степень достижения составляет 100% в случае, если фактическое значение показателя находится в диапазоне интервала. Если фактическое значение показателя не соответствует диапазону интервала плановых условий, то степень достижения рассчитывается как отношение фактического значения показателя к пограничному значению диапазона интервала.
</t>
    </r>
    <r>
      <rPr>
        <vertAlign val="superscript"/>
        <sz val="10"/>
        <color theme="1"/>
        <rFont val="Times New Roman"/>
      </rPr>
      <t xml:space="preserve">2 </t>
    </r>
    <r>
      <rPr>
        <sz val="10"/>
        <color theme="1"/>
        <rFont val="Times New Roman"/>
      </rPr>
      <t xml:space="preserve">Указвается признак возрастания (В) для показателей, для  которых  положительной динамикой является увеличение значения показателя. Указывается признак убывания (У) для показателей, для которых положительной динамикой является снижение значения показателя.
</t>
    </r>
    <r>
      <rPr>
        <vertAlign val="superscript"/>
        <sz val="10"/>
        <color theme="1"/>
        <rFont val="Times New Roman"/>
      </rPr>
      <t>3</t>
    </r>
    <r>
      <rPr>
        <sz val="10"/>
        <color theme="1"/>
        <rFont val="Times New Roman"/>
      </rPr>
      <t xml:space="preserve">Приводится информация о динамике достижения показателя ежеквартально. Обоснование отклонения (перевыполнение/не достижение) значения показателя  на конец отчетного года.
</t>
    </r>
  </si>
  <si>
    <t>Таблица 2.1</t>
  </si>
  <si>
    <t xml:space="preserve">Отчет о достижении прокси-показателей муниципальной
программы в ____ году
</t>
  </si>
  <si>
    <t>N п/п</t>
  </si>
  <si>
    <t>Наименование прокси-показателя</t>
  </si>
  <si>
    <t>Единица измерения</t>
  </si>
  <si>
    <t>Значение прокси-показателей муниципальной программы</t>
  </si>
  <si>
    <t>Признак возрастания/</t>
  </si>
  <si>
    <t>Примечание &lt;3&gt;</t>
  </si>
  <si>
    <t>(по ОКЕИ)</t>
  </si>
  <si>
    <t>убывания &lt;2&gt;</t>
  </si>
  <si>
    <t>План</t>
  </si>
  <si>
    <t>Факт</t>
  </si>
  <si>
    <t>Степень</t>
  </si>
  <si>
    <t>(В/У)</t>
  </si>
  <si>
    <t>достижения прокси-показателя &lt;1&gt;, %</t>
  </si>
  <si>
    <t>(гр. 5 / гр. 4) * 100</t>
  </si>
  <si>
    <t>(гр. 8 / гр. 7) * 100</t>
  </si>
  <si>
    <t>(гр. 11 / гр. 10) * 100</t>
  </si>
  <si>
    <t>(гр. 14 / гр. 13) * 100</t>
  </si>
  <si>
    <t>Показатель муниципальной программы "Наименование", ед. изм. по ОКЕИ</t>
  </si>
  <si>
    <t>"Наименование прокси-показателя"</t>
  </si>
  <si>
    <t xml:space="preserve">&lt;1&gt; Расчет степени достижения прокси-показателя осуществляется по следующей формуле:
1) Для возрастающего прокси-показателя факт / план * 100 (положительной динамикой является увеличение значения прокси-показателя).
2) Для убывающего прокси-показателя (100 - факт / план * 100) + 100 (положительной динамикой является снижение значения прокси-показателя).
3) Для прокси-показателя, плановое значение которого установлено в интервале не менее/не более пограничного значения, степень достижения составляет 100% в случае, если фактическое значение прокси-показателя находится в диапазоне интервала. Если фактическое значение прокси-показателя не соответствует диапазону интервала плановых условий, то степень достижения рассчитывается как отношение фактического значения прокси-показателя к пограничному значению диапазона интервала.
&lt;2&gt; Указывается признак возрастания (В) для показателей, для которых положительной динамикой является увеличение значения показателя. Указывается признак убывания (У) для показателей, для которых положительной динамикой является снижение значения показателя.
&lt;3&gt; Приводится информация о динамике достижения прокси-показателя ежеквартально. В случае отклонения (перевыполнение/недостижение) значения прокси-показателя приводится обоснование.
</t>
  </si>
</sst>
</file>

<file path=xl/styles.xml><?xml version="1.0" encoding="utf-8"?>
<styleSheet xmlns="http://schemas.openxmlformats.org/spreadsheetml/2006/main">
  <numFmts count="1">
    <numFmt numFmtId="164" formatCode="#,##0.0"/>
  </numFmts>
  <fonts count="19">
    <font>
      <sz val="11"/>
      <color theme="1"/>
      <name val="Calibri"/>
      <scheme val="minor"/>
    </font>
    <font>
      <u/>
      <sz val="11"/>
      <color theme="10"/>
      <name val="Calibri"/>
    </font>
    <font>
      <sz val="11"/>
      <name val="Times New Roman"/>
    </font>
    <font>
      <sz val="12"/>
      <name val="Times New Roman"/>
    </font>
    <font>
      <sz val="10"/>
      <name val="Times New Roman"/>
    </font>
    <font>
      <b/>
      <sz val="10"/>
      <name val="Times New Roman"/>
    </font>
    <font>
      <b/>
      <sz val="10"/>
      <color theme="1"/>
      <name val="Times New Roman"/>
    </font>
    <font>
      <i/>
      <sz val="10"/>
      <name val="Times New Roman"/>
    </font>
    <font>
      <i/>
      <sz val="10"/>
      <color theme="1"/>
      <name val="Times New Roman"/>
    </font>
    <font>
      <sz val="10"/>
      <color theme="1"/>
      <name val="Times New Roman"/>
    </font>
    <font>
      <vertAlign val="superscript"/>
      <sz val="10"/>
      <name val="Times New Roman"/>
    </font>
    <font>
      <sz val="10"/>
      <color theme="1"/>
      <name val="Calibri"/>
      <scheme val="minor"/>
    </font>
    <font>
      <i/>
      <sz val="11"/>
      <color theme="1"/>
      <name val="Calibri"/>
      <scheme val="minor"/>
    </font>
    <font>
      <u/>
      <sz val="10"/>
      <name val="Times New Roman"/>
    </font>
    <font>
      <sz val="12"/>
      <color theme="1"/>
      <name val="Times New Roman"/>
    </font>
    <font>
      <u/>
      <sz val="12"/>
      <name val="Times New Roman"/>
    </font>
    <font>
      <vertAlign val="superscript"/>
      <sz val="10"/>
      <color theme="1"/>
      <name val="Times New Roman"/>
    </font>
    <font>
      <b/>
      <sz val="9"/>
      <name val="Tahoma"/>
    </font>
    <font>
      <sz val="9"/>
      <name val="Tahom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/>
      <protection locked="0"/>
    </xf>
  </cellStyleXfs>
  <cellXfs count="135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horizontal="right" indent="15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center" textRotation="90" wrapText="1"/>
    </xf>
    <xf numFmtId="164" fontId="4" fillId="0" borderId="1" xfId="0" applyNumberFormat="1" applyFont="1" applyBorder="1" applyAlignment="1">
      <alignment horizontal="center" vertical="center" textRotation="90" wrapText="1"/>
    </xf>
    <xf numFmtId="3" fontId="4" fillId="0" borderId="0" xfId="0" applyNumberFormat="1" applyFont="1"/>
    <xf numFmtId="3" fontId="4" fillId="0" borderId="1" xfId="0" applyNumberFormat="1" applyFont="1" applyBorder="1" applyAlignment="1">
      <alignment horizontal="center" vertical="top" wrapText="1"/>
    </xf>
    <xf numFmtId="0" fontId="5" fillId="0" borderId="0" xfId="0" applyFont="1"/>
    <xf numFmtId="0" fontId="5" fillId="0" borderId="1" xfId="0" applyFont="1" applyBorder="1" applyAlignment="1">
      <alignment vertical="top" wrapText="1"/>
    </xf>
    <xf numFmtId="164" fontId="5" fillId="0" borderId="1" xfId="0" applyNumberFormat="1" applyFont="1" applyBorder="1" applyAlignment="1">
      <alignment vertical="top" wrapText="1"/>
    </xf>
    <xf numFmtId="164" fontId="6" fillId="0" borderId="1" xfId="0" applyNumberFormat="1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7" fillId="0" borderId="0" xfId="0" applyFont="1"/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vertical="top" wrapText="1"/>
    </xf>
    <xf numFmtId="164" fontId="8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vertical="top" wrapText="1"/>
    </xf>
    <xf numFmtId="164" fontId="9" fillId="0" borderId="1" xfId="0" applyNumberFormat="1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16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7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horizontal="center" vertical="top" wrapText="1"/>
    </xf>
    <xf numFmtId="16" fontId="7" fillId="0" borderId="1" xfId="0" applyNumberFormat="1" applyFont="1" applyBorder="1" applyAlignment="1">
      <alignment horizontal="center" vertical="top" wrapText="1"/>
    </xf>
    <xf numFmtId="1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164" fontId="4" fillId="0" borderId="0" xfId="0" applyNumberFormat="1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0" fillId="0" borderId="0" xfId="0"/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justify"/>
    </xf>
    <xf numFmtId="0" fontId="13" fillId="0" borderId="1" xfId="1" applyFont="1" applyBorder="1" applyAlignment="1" applyProtection="1">
      <alignment horizontal="center" vertical="top" wrapText="1"/>
    </xf>
    <xf numFmtId="0" fontId="13" fillId="0" borderId="1" xfId="1" applyFont="1" applyBorder="1" applyAlignment="1" applyProtection="1">
      <alignment vertical="top" wrapText="1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top" wrapText="1"/>
    </xf>
    <xf numFmtId="0" fontId="3" fillId="0" borderId="0" xfId="0" applyFont="1" applyAlignment="1">
      <alignment horizontal="center"/>
    </xf>
    <xf numFmtId="164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16" fontId="5" fillId="0" borderId="2" xfId="0" applyNumberFormat="1" applyFont="1" applyBorder="1" applyAlignment="1">
      <alignment horizontal="center" vertical="top" wrapText="1"/>
    </xf>
    <xf numFmtId="16" fontId="5" fillId="0" borderId="3" xfId="0" applyNumberFormat="1" applyFont="1" applyBorder="1" applyAlignment="1">
      <alignment horizontal="center" vertical="top" wrapText="1"/>
    </xf>
    <xf numFmtId="16" fontId="5" fillId="0" borderId="4" xfId="0" applyNumberFormat="1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7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13" fillId="0" borderId="1" xfId="1" applyFont="1" applyBorder="1" applyAlignment="1" applyProtection="1">
      <alignment vertical="top" wrapText="1"/>
    </xf>
    <xf numFmtId="0" fontId="9" fillId="0" borderId="5" xfId="0" applyFont="1" applyBorder="1" applyAlignment="1">
      <alignment horizontal="left" wrapText="1"/>
    </xf>
    <xf numFmtId="0" fontId="14" fillId="0" borderId="0" xfId="0" applyFont="1" applyAlignment="1">
      <alignment horizontal="center"/>
    </xf>
    <xf numFmtId="0" fontId="9" fillId="0" borderId="1" xfId="0" applyFont="1" applyBorder="1" applyAlignment="1">
      <alignment vertical="top" wrapText="1"/>
    </xf>
    <xf numFmtId="0" fontId="9" fillId="0" borderId="9" xfId="0" applyFont="1" applyBorder="1" applyAlignment="1">
      <alignment horizontal="left" vertical="top" wrapText="1"/>
    </xf>
    <xf numFmtId="0" fontId="9" fillId="0" borderId="5" xfId="0" applyFont="1" applyBorder="1" applyAlignment="1">
      <alignment vertical="top" wrapText="1"/>
    </xf>
    <xf numFmtId="0" fontId="4" fillId="0" borderId="8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9" xfId="0" applyFont="1" applyFill="1" applyBorder="1" applyAlignment="1">
      <alignment horizontal="center" vertical="top" wrapText="1"/>
    </xf>
    <xf numFmtId="164" fontId="4" fillId="0" borderId="0" xfId="0" applyNumberFormat="1" applyFont="1" applyFill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9" fillId="0" borderId="0" xfId="0" applyNumberFormat="1" applyFont="1" applyFill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4" fillId="0" borderId="6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center" vertical="top" wrapText="1"/>
    </xf>
    <xf numFmtId="164" fontId="4" fillId="0" borderId="2" xfId="0" applyNumberFormat="1" applyFont="1" applyFill="1" applyBorder="1" applyAlignment="1">
      <alignment horizontal="center" vertical="top" wrapText="1"/>
    </xf>
    <xf numFmtId="164" fontId="9" fillId="0" borderId="2" xfId="0" applyNumberFormat="1" applyFont="1" applyFill="1" applyBorder="1" applyAlignment="1">
      <alignment horizontal="center" vertical="top" wrapText="1"/>
    </xf>
    <xf numFmtId="164" fontId="9" fillId="0" borderId="1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center" vertical="top" wrapText="1"/>
    </xf>
    <xf numFmtId="4" fontId="4" fillId="0" borderId="10" xfId="0" applyNumberFormat="1" applyFont="1" applyFill="1" applyBorder="1" applyAlignment="1">
      <alignment horizontal="center" vertical="top" wrapText="1"/>
    </xf>
    <xf numFmtId="164" fontId="4" fillId="0" borderId="10" xfId="0" applyNumberFormat="1" applyFont="1" applyFill="1" applyBorder="1" applyAlignment="1">
      <alignment horizontal="center" vertical="top" wrapText="1"/>
    </xf>
    <xf numFmtId="164" fontId="4" fillId="0" borderId="11" xfId="0" applyNumberFormat="1" applyFont="1" applyFill="1" applyBorder="1" applyAlignment="1">
      <alignment horizontal="center" vertical="top" wrapText="1"/>
    </xf>
    <xf numFmtId="164" fontId="4" fillId="0" borderId="12" xfId="0" applyNumberFormat="1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left" vertical="top" wrapText="1"/>
    </xf>
    <xf numFmtId="4" fontId="4" fillId="0" borderId="0" xfId="0" applyNumberFormat="1" applyFont="1" applyFill="1" applyAlignment="1">
      <alignment horizontal="center" vertical="top" wrapText="1"/>
    </xf>
    <xf numFmtId="0" fontId="9" fillId="0" borderId="13" xfId="0" applyFont="1" applyFill="1" applyBorder="1" applyAlignment="1">
      <alignment horizontal="left" vertical="top" wrapText="1"/>
    </xf>
    <xf numFmtId="0" fontId="11" fillId="0" borderId="0" xfId="0" applyFont="1" applyFill="1" applyAlignment="1">
      <alignment horizontal="left"/>
    </xf>
    <xf numFmtId="0" fontId="11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center"/>
    </xf>
    <xf numFmtId="0" fontId="9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6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4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12" fillId="0" borderId="0" xfId="0" applyFont="1" applyFill="1"/>
    <xf numFmtId="2" fontId="9" fillId="0" borderId="1" xfId="0" applyNumberFormat="1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left" vertical="top" wrapText="1"/>
    </xf>
    <xf numFmtId="0" fontId="9" fillId="0" borderId="14" xfId="0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Храмцова" id="{E33D4AF8-19F3-A760-5058-878DC2306D8B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J19" personId="{E33D4AF8-19F3-A760-5058-878DC2306D8B}" id="{D5C27AB0-C766-7AE3-37AF-A0E22922017E}" done="0">
    <text xml:space="preserve">Недостижение (менее 95%), необходимо корректировать план
</text>
  </threadedComment>
  <threadedComment ref="J20" personId="{E33D4AF8-19F3-A760-5058-878DC2306D8B}" id="{26FBCE45-B405-1EEF-C7CA-5C8BF35260B8}" done="0">
    <text xml:space="preserve">Перевыполнение (более 100%), необходимо корректировать план
</text>
  </threadedComment>
  <threadedComment ref="J21" personId="{E33D4AF8-19F3-A760-5058-878DC2306D8B}" id="{5272AF3D-9794-D672-DE9B-6AADB212D641}" done="0">
    <text xml:space="preserve">Недостижение (менее 95%)
</text>
  </threadedComment>
  <threadedComment ref="J22" personId="{E33D4AF8-19F3-A760-5058-878DC2306D8B}" id="{993899C6-4A9F-04FB-F94A-F404FF7D1526}" done="0">
    <text xml:space="preserve">Перевыполнен (Более 110%)
</text>
  </threadedComment>
  <threadedComment ref="J23" personId="{E33D4AF8-19F3-A760-5058-878DC2306D8B}" id="{E30CE63C-7F7D-BD44-87A0-C4C2B6005FD9}" done="0">
    <text xml:space="preserve">Перевыполнен (Более 110%)
</text>
  </threadedComment>
  <threadedComment ref="J24" personId="{E33D4AF8-19F3-A760-5058-878DC2306D8B}" id="{860D88AE-4C2B-17DE-7ED1-8B032D4E2989}" done="0">
    <text xml:space="preserve">перевыполнение (более 110%)
</text>
  </threadedComment>
</ThreadedComment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login.consultant.ru/link/?req=doc&amp;base=LAW&amp;n=495935" TargetMode="External"/><Relationship Id="rId1" Type="http://schemas.openxmlformats.org/officeDocument/2006/relationships/hyperlink" Target="https://login.consultant.ru/link/?req=doc&amp;base=LAW&amp;n=49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92"/>
  <sheetViews>
    <sheetView topLeftCell="L1" zoomScale="80" workbookViewId="0">
      <pane ySplit="9" topLeftCell="A10" activePane="bottomLeft" state="frozen"/>
      <selection activeCell="Y49" sqref="Y49"/>
      <selection pane="bottomLeft" activeCell="L1" sqref="L1"/>
    </sheetView>
  </sheetViews>
  <sheetFormatPr defaultColWidth="9.140625" defaultRowHeight="15"/>
  <cols>
    <col min="1" max="1" width="6.5703125" style="1" customWidth="1"/>
    <col min="2" max="2" width="53.42578125" style="1" customWidth="1"/>
    <col min="3" max="3" width="15" style="2" customWidth="1"/>
    <col min="4" max="4" width="15.85546875" style="2" customWidth="1"/>
    <col min="5" max="17" width="15" style="2" customWidth="1"/>
    <col min="18" max="18" width="112.85546875" style="1" customWidth="1"/>
    <col min="19" max="16384" width="9.140625" style="1"/>
  </cols>
  <sheetData>
    <row r="1" spans="1:18" ht="14.25" customHeight="1">
      <c r="A1" s="3"/>
      <c r="R1" s="4" t="s">
        <v>0</v>
      </c>
    </row>
    <row r="2" spans="1:18" ht="15.75">
      <c r="A2" s="3" t="s">
        <v>0</v>
      </c>
    </row>
    <row r="3" spans="1:18" ht="15.75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5.75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</row>
    <row r="5" spans="1:18">
      <c r="A5" s="6"/>
      <c r="M5" s="47" t="s">
        <v>3</v>
      </c>
      <c r="N5" s="47"/>
    </row>
    <row r="6" spans="1:18" ht="15.75">
      <c r="A6" s="5"/>
    </row>
    <row r="7" spans="1:18" s="7" customFormat="1" ht="18" customHeight="1">
      <c r="A7" s="48" t="s">
        <v>4</v>
      </c>
      <c r="B7" s="48" t="s">
        <v>5</v>
      </c>
      <c r="C7" s="49" t="s">
        <v>6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50" t="s">
        <v>7</v>
      </c>
    </row>
    <row r="8" spans="1:18" s="7" customFormat="1" ht="16.5" customHeight="1">
      <c r="A8" s="48"/>
      <c r="B8" s="48"/>
      <c r="C8" s="49" t="s">
        <v>8</v>
      </c>
      <c r="D8" s="49"/>
      <c r="E8" s="49"/>
      <c r="F8" s="49" t="s">
        <v>9</v>
      </c>
      <c r="G8" s="49"/>
      <c r="H8" s="49"/>
      <c r="I8" s="49" t="s">
        <v>10</v>
      </c>
      <c r="J8" s="49"/>
      <c r="K8" s="49"/>
      <c r="L8" s="49" t="s">
        <v>11</v>
      </c>
      <c r="M8" s="49"/>
      <c r="N8" s="49"/>
      <c r="O8" s="49" t="s">
        <v>12</v>
      </c>
      <c r="P8" s="49"/>
      <c r="Q8" s="49"/>
      <c r="R8" s="51"/>
    </row>
    <row r="9" spans="1:18" s="7" customFormat="1" ht="97.5" customHeight="1">
      <c r="A9" s="48"/>
      <c r="B9" s="48"/>
      <c r="C9" s="9" t="s">
        <v>13</v>
      </c>
      <c r="D9" s="10" t="s">
        <v>14</v>
      </c>
      <c r="E9" s="9" t="s">
        <v>15</v>
      </c>
      <c r="F9" s="10" t="s">
        <v>13</v>
      </c>
      <c r="G9" s="10" t="s">
        <v>14</v>
      </c>
      <c r="H9" s="10" t="s">
        <v>16</v>
      </c>
      <c r="I9" s="9" t="s">
        <v>13</v>
      </c>
      <c r="J9" s="10" t="s">
        <v>14</v>
      </c>
      <c r="K9" s="10" t="s">
        <v>17</v>
      </c>
      <c r="L9" s="9" t="s">
        <v>13</v>
      </c>
      <c r="M9" s="10" t="s">
        <v>14</v>
      </c>
      <c r="N9" s="10" t="s">
        <v>18</v>
      </c>
      <c r="O9" s="9" t="s">
        <v>13</v>
      </c>
      <c r="P9" s="10" t="s">
        <v>14</v>
      </c>
      <c r="Q9" s="10" t="s">
        <v>19</v>
      </c>
      <c r="R9" s="52"/>
    </row>
    <row r="10" spans="1:18" s="11" customFormat="1" ht="12.75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2">
        <v>13</v>
      </c>
      <c r="N10" s="12">
        <v>14</v>
      </c>
      <c r="O10" s="12">
        <v>15</v>
      </c>
      <c r="P10" s="12">
        <v>16</v>
      </c>
      <c r="Q10" s="12">
        <v>17</v>
      </c>
      <c r="R10" s="12">
        <v>18</v>
      </c>
    </row>
    <row r="11" spans="1:18" s="13" customFormat="1" ht="17.25" customHeight="1">
      <c r="A11" s="53" t="s">
        <v>20</v>
      </c>
      <c r="B11" s="53"/>
      <c r="C11" s="15">
        <f>C12+C13+C14+C15+C16</f>
        <v>2634595.4</v>
      </c>
      <c r="D11" s="15">
        <f>D12+D13+D14+D15+D16</f>
        <v>1703147.4</v>
      </c>
      <c r="E11" s="15">
        <f t="shared" ref="E11:E73" si="0">D11/C11*100</f>
        <v>64.64550116499862</v>
      </c>
      <c r="F11" s="15">
        <f>F12+F13+F14+F15+F16</f>
        <v>509933.40000000008</v>
      </c>
      <c r="G11" s="15">
        <f>G12+G13+G14+G15+G16</f>
        <v>494704.59999999992</v>
      </c>
      <c r="H11" s="15">
        <f t="shared" ref="H11:H65" si="1">G11/F11*100</f>
        <v>97.013570791793569</v>
      </c>
      <c r="I11" s="15">
        <f t="shared" ref="I11:J11" si="2">I12+I13+I14+I15+I16</f>
        <v>847237.6</v>
      </c>
      <c r="J11" s="15">
        <f t="shared" si="2"/>
        <v>839098.20000000019</v>
      </c>
      <c r="K11" s="15">
        <f t="shared" ref="K11:K65" si="3">J11/I11*100</f>
        <v>99.039301371893814</v>
      </c>
      <c r="L11" s="16">
        <f t="shared" ref="L11:M11" si="4">L12+L13+L14+L15+L16</f>
        <v>472462.4</v>
      </c>
      <c r="M11" s="16">
        <f t="shared" si="4"/>
        <v>369344.6</v>
      </c>
      <c r="N11" s="16">
        <f t="shared" ref="N11:N73" si="5">M11/L11*100</f>
        <v>78.174390173694235</v>
      </c>
      <c r="O11" s="16">
        <f t="shared" ref="O11:P11" si="6">O12+O13+O14+O15+O16</f>
        <v>804962</v>
      </c>
      <c r="P11" s="15">
        <f t="shared" si="6"/>
        <v>0</v>
      </c>
      <c r="Q11" s="15">
        <f t="shared" ref="Q11:Q20" si="7">P11/O11*100</f>
        <v>0</v>
      </c>
      <c r="R11" s="14"/>
    </row>
    <row r="12" spans="1:18" s="13" customFormat="1" ht="16.5" customHeight="1">
      <c r="A12" s="53" t="s">
        <v>21</v>
      </c>
      <c r="B12" s="53"/>
      <c r="C12" s="16">
        <f t="shared" ref="C12:D15" si="8">C18+C66+C81</f>
        <v>89521</v>
      </c>
      <c r="D12" s="15">
        <f t="shared" si="8"/>
        <v>60742.900000000009</v>
      </c>
      <c r="E12" s="15">
        <f t="shared" si="0"/>
        <v>67.853241138950651</v>
      </c>
      <c r="F12" s="15">
        <f t="shared" ref="F12:G15" si="9">F18+F66+F81</f>
        <v>19542.400000000001</v>
      </c>
      <c r="G12" s="15">
        <f t="shared" si="9"/>
        <v>18532.3</v>
      </c>
      <c r="H12" s="15">
        <f t="shared" si="1"/>
        <v>94.83123874242672</v>
      </c>
      <c r="I12" s="15">
        <f t="shared" ref="I12:J15" si="10">I18+I66+I81</f>
        <v>33736.899999999994</v>
      </c>
      <c r="J12" s="15">
        <f t="shared" si="10"/>
        <v>32984.300000000003</v>
      </c>
      <c r="K12" s="15">
        <f t="shared" si="3"/>
        <v>97.76920819636662</v>
      </c>
      <c r="L12" s="16">
        <f t="shared" ref="L12:M15" si="11">L18+L66+L81</f>
        <v>9545.5</v>
      </c>
      <c r="M12" s="16">
        <f t="shared" si="11"/>
        <v>9226.2999999999993</v>
      </c>
      <c r="N12" s="16">
        <f t="shared" si="5"/>
        <v>96.65601592373369</v>
      </c>
      <c r="O12" s="16">
        <f t="shared" ref="O12:P15" si="12">O18+O66+O81</f>
        <v>26696.2</v>
      </c>
      <c r="P12" s="15">
        <f t="shared" si="12"/>
        <v>0</v>
      </c>
      <c r="Q12" s="15">
        <f t="shared" si="7"/>
        <v>0</v>
      </c>
      <c r="R12" s="14"/>
    </row>
    <row r="13" spans="1:18" s="13" customFormat="1" ht="16.5" customHeight="1">
      <c r="A13" s="53" t="s">
        <v>22</v>
      </c>
      <c r="B13" s="53"/>
      <c r="C13" s="16">
        <f t="shared" si="8"/>
        <v>1981110.2</v>
      </c>
      <c r="D13" s="15">
        <f>D19+D67+D82</f>
        <v>1323173.2</v>
      </c>
      <c r="E13" s="15">
        <f t="shared" si="0"/>
        <v>66.789479959267283</v>
      </c>
      <c r="F13" s="15">
        <f t="shared" si="9"/>
        <v>390891.00000000006</v>
      </c>
      <c r="G13" s="15">
        <f t="shared" si="9"/>
        <v>380416.19999999995</v>
      </c>
      <c r="H13" s="15">
        <f t="shared" si="1"/>
        <v>97.320275984865319</v>
      </c>
      <c r="I13" s="15">
        <f t="shared" si="10"/>
        <v>681310.79999999993</v>
      </c>
      <c r="J13" s="15">
        <f t="shared" si="10"/>
        <v>679587.60000000009</v>
      </c>
      <c r="K13" s="15">
        <f t="shared" si="3"/>
        <v>99.747075783915378</v>
      </c>
      <c r="L13" s="16">
        <f t="shared" si="11"/>
        <v>355230.30000000005</v>
      </c>
      <c r="M13" s="16">
        <f t="shared" si="11"/>
        <v>263169.39999999997</v>
      </c>
      <c r="N13" s="16">
        <f t="shared" si="5"/>
        <v>74.084164554656496</v>
      </c>
      <c r="O13" s="16">
        <f t="shared" si="12"/>
        <v>553678.10000000009</v>
      </c>
      <c r="P13" s="15">
        <f t="shared" si="12"/>
        <v>0</v>
      </c>
      <c r="Q13" s="15">
        <f t="shared" si="7"/>
        <v>0</v>
      </c>
      <c r="R13" s="14"/>
    </row>
    <row r="14" spans="1:18" s="13" customFormat="1" ht="16.5" customHeight="1">
      <c r="A14" s="53" t="s">
        <v>23</v>
      </c>
      <c r="B14" s="53"/>
      <c r="C14" s="16">
        <f t="shared" si="8"/>
        <v>563964.20000000007</v>
      </c>
      <c r="D14" s="15">
        <f t="shared" si="8"/>
        <v>319231.3</v>
      </c>
      <c r="E14" s="15">
        <f t="shared" si="0"/>
        <v>56.604887331500819</v>
      </c>
      <c r="F14" s="15">
        <f t="shared" si="9"/>
        <v>99499.999999999985</v>
      </c>
      <c r="G14" s="15">
        <f t="shared" si="9"/>
        <v>95756.099999999991</v>
      </c>
      <c r="H14" s="15">
        <f t="shared" si="1"/>
        <v>96.237286432160801</v>
      </c>
      <c r="I14" s="15">
        <f t="shared" si="10"/>
        <v>132189.9</v>
      </c>
      <c r="J14" s="15">
        <f t="shared" si="10"/>
        <v>126526.3</v>
      </c>
      <c r="K14" s="15">
        <f t="shared" si="3"/>
        <v>95.715557693893416</v>
      </c>
      <c r="L14" s="16">
        <f t="shared" si="11"/>
        <v>107686.59999999999</v>
      </c>
      <c r="M14" s="16">
        <f t="shared" si="11"/>
        <v>96948.9</v>
      </c>
      <c r="N14" s="16">
        <f t="shared" si="5"/>
        <v>90.028750095183625</v>
      </c>
      <c r="O14" s="16">
        <f t="shared" si="12"/>
        <v>224587.7</v>
      </c>
      <c r="P14" s="15">
        <f t="shared" si="12"/>
        <v>0</v>
      </c>
      <c r="Q14" s="15">
        <f t="shared" si="7"/>
        <v>0</v>
      </c>
      <c r="R14" s="14"/>
    </row>
    <row r="15" spans="1:18" s="13" customFormat="1" ht="16.5" customHeight="1">
      <c r="A15" s="53" t="s">
        <v>24</v>
      </c>
      <c r="B15" s="53"/>
      <c r="C15" s="15">
        <f t="shared" si="8"/>
        <v>0</v>
      </c>
      <c r="D15" s="15">
        <f t="shared" si="8"/>
        <v>0</v>
      </c>
      <c r="E15" s="15">
        <v>0</v>
      </c>
      <c r="F15" s="15">
        <f t="shared" si="9"/>
        <v>0</v>
      </c>
      <c r="G15" s="15">
        <f t="shared" si="9"/>
        <v>0</v>
      </c>
      <c r="H15" s="15">
        <v>0</v>
      </c>
      <c r="I15" s="15">
        <f t="shared" si="10"/>
        <v>0</v>
      </c>
      <c r="J15" s="15">
        <f t="shared" si="10"/>
        <v>0</v>
      </c>
      <c r="K15" s="15">
        <v>0</v>
      </c>
      <c r="L15" s="16">
        <f t="shared" si="11"/>
        <v>0</v>
      </c>
      <c r="M15" s="16">
        <f t="shared" si="11"/>
        <v>0</v>
      </c>
      <c r="N15" s="16">
        <v>0</v>
      </c>
      <c r="O15" s="16">
        <f t="shared" si="12"/>
        <v>0</v>
      </c>
      <c r="P15" s="15">
        <f t="shared" si="12"/>
        <v>0</v>
      </c>
      <c r="Q15" s="15">
        <v>0</v>
      </c>
      <c r="R15" s="14"/>
    </row>
    <row r="16" spans="1:18" s="13" customFormat="1" ht="27.75" customHeight="1">
      <c r="A16" s="53" t="s">
        <v>25</v>
      </c>
      <c r="B16" s="53"/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6">
        <v>0</v>
      </c>
      <c r="M16" s="16">
        <v>0</v>
      </c>
      <c r="N16" s="16">
        <v>0</v>
      </c>
      <c r="O16" s="16">
        <v>0</v>
      </c>
      <c r="P16" s="15">
        <v>0</v>
      </c>
      <c r="Q16" s="15">
        <v>0</v>
      </c>
      <c r="R16" s="14"/>
    </row>
    <row r="17" spans="1:18" s="13" customFormat="1" ht="42" customHeight="1">
      <c r="A17" s="54" t="s">
        <v>26</v>
      </c>
      <c r="B17" s="14" t="s">
        <v>27</v>
      </c>
      <c r="C17" s="15">
        <f>SUM(C18:C21)</f>
        <v>2556984.4</v>
      </c>
      <c r="D17" s="15">
        <f>SUM(D18:D21)</f>
        <v>1645035.0999999999</v>
      </c>
      <c r="E17" s="15">
        <f t="shared" si="0"/>
        <v>64.334968175793321</v>
      </c>
      <c r="F17" s="15">
        <f t="shared" ref="F17:G17" si="13">SUM(F18:F21)</f>
        <v>493615.30000000005</v>
      </c>
      <c r="G17" s="15">
        <f t="shared" si="13"/>
        <v>480179.99999999994</v>
      </c>
      <c r="H17" s="15">
        <f t="shared" si="1"/>
        <v>97.278184043322796</v>
      </c>
      <c r="I17" s="15">
        <f t="shared" ref="I17:J17" si="14">SUM(I18:I21)</f>
        <v>823423.7</v>
      </c>
      <c r="J17" s="15">
        <f t="shared" si="14"/>
        <v>817465.10000000009</v>
      </c>
      <c r="K17" s="15">
        <f t="shared" si="3"/>
        <v>99.276362825116664</v>
      </c>
      <c r="L17" s="16">
        <f t="shared" ref="L17:M17" si="15">SUM(L18:L21)</f>
        <v>453274.9</v>
      </c>
      <c r="M17" s="16">
        <f t="shared" si="15"/>
        <v>347389.99999999994</v>
      </c>
      <c r="N17" s="16">
        <f t="shared" si="5"/>
        <v>76.640025732728617</v>
      </c>
      <c r="O17" s="16">
        <f t="shared" ref="O17:P17" si="16">SUM(O18:O21)</f>
        <v>786670.5</v>
      </c>
      <c r="P17" s="15">
        <f t="shared" si="16"/>
        <v>0</v>
      </c>
      <c r="Q17" s="15">
        <f t="shared" si="7"/>
        <v>0</v>
      </c>
      <c r="R17" s="54"/>
    </row>
    <row r="18" spans="1:18" s="13" customFormat="1" ht="12.75">
      <c r="A18" s="55"/>
      <c r="B18" s="14" t="s">
        <v>21</v>
      </c>
      <c r="C18" s="15">
        <f t="shared" ref="C18:C21" si="17">C25+C32+C39+C44+C49+C54+C59</f>
        <v>89521</v>
      </c>
      <c r="D18" s="15">
        <f t="shared" ref="D18:D20" si="18">G18+J18+M18+P18</f>
        <v>60742.900000000009</v>
      </c>
      <c r="E18" s="15">
        <f t="shared" si="0"/>
        <v>67.853241138950651</v>
      </c>
      <c r="F18" s="15">
        <f t="shared" ref="F18:F20" si="19">F25+F32+F39+F44+F49+F54+F59</f>
        <v>19542.400000000001</v>
      </c>
      <c r="G18" s="15">
        <f t="shared" ref="G18:G20" si="20">G25+G32+G39+G44+G49+G54+G59</f>
        <v>18532.3</v>
      </c>
      <c r="H18" s="15">
        <f t="shared" si="1"/>
        <v>94.83123874242672</v>
      </c>
      <c r="I18" s="15">
        <f t="shared" ref="I18:J20" si="21">I25+I32+I39+I44+I49+I54+I59</f>
        <v>33736.899999999994</v>
      </c>
      <c r="J18" s="15">
        <f t="shared" si="21"/>
        <v>32984.300000000003</v>
      </c>
      <c r="K18" s="15">
        <f t="shared" si="3"/>
        <v>97.76920819636662</v>
      </c>
      <c r="L18" s="16">
        <f t="shared" ref="L18:M20" si="22">L25+L32+L39+L44+L49+L54+L59</f>
        <v>9545.5</v>
      </c>
      <c r="M18" s="16">
        <f t="shared" si="22"/>
        <v>9226.2999999999993</v>
      </c>
      <c r="N18" s="16">
        <f t="shared" si="5"/>
        <v>96.65601592373369</v>
      </c>
      <c r="O18" s="16">
        <f t="shared" ref="O18:P20" si="23">O25+O32+O39+O44+O49+O54+O59</f>
        <v>26696.2</v>
      </c>
      <c r="P18" s="15">
        <f t="shared" si="23"/>
        <v>0</v>
      </c>
      <c r="Q18" s="15">
        <f t="shared" si="7"/>
        <v>0</v>
      </c>
      <c r="R18" s="55"/>
    </row>
    <row r="19" spans="1:18" s="13" customFormat="1" ht="12.75">
      <c r="A19" s="55"/>
      <c r="B19" s="14" t="s">
        <v>22</v>
      </c>
      <c r="C19" s="15">
        <f t="shared" si="17"/>
        <v>1977184.7</v>
      </c>
      <c r="D19" s="15">
        <f t="shared" si="18"/>
        <v>1319479.3999999999</v>
      </c>
      <c r="E19" s="15">
        <f t="shared" si="0"/>
        <v>66.735262517457272</v>
      </c>
      <c r="F19" s="15">
        <f t="shared" si="19"/>
        <v>390584.20000000007</v>
      </c>
      <c r="G19" s="15">
        <f t="shared" si="20"/>
        <v>380145.1</v>
      </c>
      <c r="H19" s="15">
        <f t="shared" si="1"/>
        <v>97.327311243004687</v>
      </c>
      <c r="I19" s="15">
        <f t="shared" si="21"/>
        <v>679480.2</v>
      </c>
      <c r="J19" s="15">
        <f t="shared" si="21"/>
        <v>677759.70000000007</v>
      </c>
      <c r="K19" s="15">
        <f t="shared" si="3"/>
        <v>99.746791738743838</v>
      </c>
      <c r="L19" s="16">
        <f t="shared" si="22"/>
        <v>353614.7</v>
      </c>
      <c r="M19" s="16">
        <f t="shared" si="22"/>
        <v>261574.59999999995</v>
      </c>
      <c r="N19" s="16">
        <f t="shared" si="5"/>
        <v>73.971642016013462</v>
      </c>
      <c r="O19" s="16">
        <f t="shared" si="23"/>
        <v>553505.60000000009</v>
      </c>
      <c r="P19" s="15">
        <f t="shared" si="23"/>
        <v>0</v>
      </c>
      <c r="Q19" s="15">
        <f t="shared" si="7"/>
        <v>0</v>
      </c>
      <c r="R19" s="55"/>
    </row>
    <row r="20" spans="1:18" s="13" customFormat="1" ht="12.75">
      <c r="A20" s="55"/>
      <c r="B20" s="14" t="s">
        <v>23</v>
      </c>
      <c r="C20" s="15">
        <f t="shared" si="17"/>
        <v>490278.70000000007</v>
      </c>
      <c r="D20" s="15">
        <f t="shared" si="18"/>
        <v>264812.79999999999</v>
      </c>
      <c r="E20" s="15">
        <f t="shared" si="0"/>
        <v>54.012707466181972</v>
      </c>
      <c r="F20" s="15">
        <f t="shared" si="19"/>
        <v>83488.699999999983</v>
      </c>
      <c r="G20" s="15">
        <f t="shared" si="20"/>
        <v>81502.599999999991</v>
      </c>
      <c r="H20" s="15">
        <f t="shared" si="1"/>
        <v>97.62111519283448</v>
      </c>
      <c r="I20" s="15">
        <f t="shared" si="21"/>
        <v>110206.59999999999</v>
      </c>
      <c r="J20" s="15">
        <f t="shared" si="21"/>
        <v>106721.1</v>
      </c>
      <c r="K20" s="15">
        <f t="shared" si="3"/>
        <v>96.837303754947541</v>
      </c>
      <c r="L20" s="16">
        <f t="shared" si="22"/>
        <v>90114.7</v>
      </c>
      <c r="M20" s="16">
        <f t="shared" si="22"/>
        <v>76589.099999999991</v>
      </c>
      <c r="N20" s="16">
        <f t="shared" si="5"/>
        <v>84.990684094825809</v>
      </c>
      <c r="O20" s="16">
        <f t="shared" si="23"/>
        <v>206468.7</v>
      </c>
      <c r="P20" s="15">
        <f t="shared" si="23"/>
        <v>0</v>
      </c>
      <c r="Q20" s="15">
        <f t="shared" si="7"/>
        <v>0</v>
      </c>
      <c r="R20" s="55"/>
    </row>
    <row r="21" spans="1:18" s="13" customFormat="1" ht="12.75">
      <c r="A21" s="55"/>
      <c r="B21" s="14" t="s">
        <v>24</v>
      </c>
      <c r="C21" s="15">
        <f t="shared" si="17"/>
        <v>0</v>
      </c>
      <c r="D21" s="15">
        <f t="shared" ref="D21:Q21" si="24">D28+D35+D42+D47+D52+D57+D62</f>
        <v>0</v>
      </c>
      <c r="E21" s="15">
        <v>0</v>
      </c>
      <c r="F21" s="15">
        <f t="shared" si="24"/>
        <v>0</v>
      </c>
      <c r="G21" s="15">
        <f t="shared" si="24"/>
        <v>0</v>
      </c>
      <c r="H21" s="15">
        <v>0</v>
      </c>
      <c r="I21" s="15">
        <f t="shared" si="24"/>
        <v>0</v>
      </c>
      <c r="J21" s="15">
        <f t="shared" si="24"/>
        <v>0</v>
      </c>
      <c r="K21" s="15">
        <v>0</v>
      </c>
      <c r="L21" s="16">
        <f t="shared" si="24"/>
        <v>0</v>
      </c>
      <c r="M21" s="16">
        <f t="shared" si="24"/>
        <v>0</v>
      </c>
      <c r="N21" s="16">
        <v>0</v>
      </c>
      <c r="O21" s="16">
        <f t="shared" si="24"/>
        <v>0</v>
      </c>
      <c r="P21" s="15">
        <f t="shared" si="24"/>
        <v>0</v>
      </c>
      <c r="Q21" s="15">
        <f t="shared" si="24"/>
        <v>0</v>
      </c>
      <c r="R21" s="56"/>
    </row>
    <row r="22" spans="1:18" s="13" customFormat="1" ht="12.75">
      <c r="A22" s="55"/>
      <c r="B22" s="14" t="s">
        <v>28</v>
      </c>
      <c r="C22" s="15"/>
      <c r="D22" s="15"/>
      <c r="E22" s="15"/>
      <c r="F22" s="15"/>
      <c r="G22" s="15"/>
      <c r="H22" s="15"/>
      <c r="I22" s="15"/>
      <c r="J22" s="15"/>
      <c r="K22" s="15"/>
      <c r="L22" s="16"/>
      <c r="M22" s="16"/>
      <c r="N22" s="16"/>
      <c r="O22" s="16"/>
      <c r="P22" s="15"/>
      <c r="Q22" s="15"/>
      <c r="R22" s="17"/>
    </row>
    <row r="23" spans="1:18" s="13" customFormat="1" ht="12.75">
      <c r="A23" s="56"/>
      <c r="B23" s="14" t="s">
        <v>29</v>
      </c>
      <c r="C23" s="15">
        <f>F23+I23+L23+O23</f>
        <v>372102.7</v>
      </c>
      <c r="D23" s="15">
        <f>G23+J23+M23+P23</f>
        <v>357097.80000000005</v>
      </c>
      <c r="E23" s="15">
        <f t="shared" si="0"/>
        <v>95.96753799421505</v>
      </c>
      <c r="F23" s="15">
        <f>F30+F37+F64</f>
        <v>0</v>
      </c>
      <c r="G23" s="15">
        <f t="shared" ref="G23:P23" si="25">G30+G37+G64</f>
        <v>0</v>
      </c>
      <c r="H23" s="15"/>
      <c r="I23" s="15">
        <f t="shared" si="25"/>
        <v>158098</v>
      </c>
      <c r="J23" s="15">
        <f t="shared" si="25"/>
        <v>158025.79999999999</v>
      </c>
      <c r="K23" s="15">
        <f t="shared" si="3"/>
        <v>99.954332123113517</v>
      </c>
      <c r="L23" s="16">
        <f t="shared" si="25"/>
        <v>205312.3</v>
      </c>
      <c r="M23" s="16">
        <f t="shared" si="25"/>
        <v>199072.00000000003</v>
      </c>
      <c r="N23" s="16">
        <f t="shared" si="25"/>
        <v>196.93269054006629</v>
      </c>
      <c r="O23" s="16">
        <f t="shared" si="25"/>
        <v>8692.4</v>
      </c>
      <c r="P23" s="15">
        <f t="shared" si="25"/>
        <v>0</v>
      </c>
      <c r="Q23" s="15">
        <f t="shared" ref="Q23:Q65" si="26">P23/O23*100</f>
        <v>0</v>
      </c>
      <c r="R23" s="17"/>
    </row>
    <row r="24" spans="1:18" s="18" customFormat="1" ht="25.5">
      <c r="A24" s="19" t="s">
        <v>30</v>
      </c>
      <c r="B24" s="20" t="s">
        <v>31</v>
      </c>
      <c r="C24" s="21">
        <f>C25+C26+C27+C28</f>
        <v>120558.09999999999</v>
      </c>
      <c r="D24" s="21">
        <f t="shared" ref="D24:P24" si="27">D25+D26+D27+D28</f>
        <v>9689</v>
      </c>
      <c r="E24" s="21">
        <f t="shared" si="0"/>
        <v>8.0367889009531517</v>
      </c>
      <c r="F24" s="21">
        <f t="shared" si="27"/>
        <v>757.4</v>
      </c>
      <c r="G24" s="21">
        <f t="shared" si="27"/>
        <v>757.4</v>
      </c>
      <c r="H24" s="21">
        <f t="shared" si="1"/>
        <v>100</v>
      </c>
      <c r="I24" s="21">
        <f t="shared" si="27"/>
        <v>1396.5</v>
      </c>
      <c r="J24" s="21">
        <f t="shared" si="27"/>
        <v>776.6</v>
      </c>
      <c r="K24" s="21">
        <f t="shared" si="3"/>
        <v>55.610454708199072</v>
      </c>
      <c r="L24" s="22">
        <f t="shared" si="27"/>
        <v>10820.7</v>
      </c>
      <c r="M24" s="22">
        <f t="shared" si="27"/>
        <v>8155</v>
      </c>
      <c r="N24" s="22">
        <f t="shared" si="5"/>
        <v>75.364810040015897</v>
      </c>
      <c r="O24" s="22">
        <f t="shared" si="27"/>
        <v>107583.5</v>
      </c>
      <c r="P24" s="21">
        <f t="shared" si="27"/>
        <v>0</v>
      </c>
      <c r="Q24" s="21">
        <f t="shared" si="26"/>
        <v>0</v>
      </c>
      <c r="R24" s="57" t="s">
        <v>32</v>
      </c>
    </row>
    <row r="25" spans="1:18" s="7" customFormat="1" ht="12.75">
      <c r="A25" s="8" t="s">
        <v>33</v>
      </c>
      <c r="B25" s="23" t="s">
        <v>21</v>
      </c>
      <c r="C25" s="24"/>
      <c r="D25" s="24"/>
      <c r="E25" s="24"/>
      <c r="F25" s="24"/>
      <c r="G25" s="24"/>
      <c r="H25" s="24"/>
      <c r="I25" s="24"/>
      <c r="J25" s="24"/>
      <c r="K25" s="24"/>
      <c r="L25" s="25"/>
      <c r="M25" s="25"/>
      <c r="N25" s="25"/>
      <c r="O25" s="25"/>
      <c r="P25" s="24"/>
      <c r="Q25" s="24"/>
      <c r="R25" s="58"/>
    </row>
    <row r="26" spans="1:18" s="7" customFormat="1" ht="21" customHeight="1">
      <c r="A26" s="8" t="s">
        <v>34</v>
      </c>
      <c r="B26" s="23" t="s">
        <v>22</v>
      </c>
      <c r="C26" s="24">
        <f t="shared" ref="C26:C30" si="28">F26+I26+L26+O26</f>
        <v>66847.399999999994</v>
      </c>
      <c r="D26" s="24">
        <f t="shared" ref="D26:D30" si="29">G26+J26+M26+P26</f>
        <v>0</v>
      </c>
      <c r="E26" s="24">
        <f t="shared" si="0"/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5">
        <v>0</v>
      </c>
      <c r="M26" s="25">
        <v>0</v>
      </c>
      <c r="N26" s="25">
        <v>0</v>
      </c>
      <c r="O26" s="25">
        <v>66847.399999999994</v>
      </c>
      <c r="P26" s="24"/>
      <c r="Q26" s="24">
        <f t="shared" si="26"/>
        <v>0</v>
      </c>
      <c r="R26" s="58"/>
    </row>
    <row r="27" spans="1:18" s="7" customFormat="1" ht="44.25" customHeight="1">
      <c r="A27" s="8" t="s">
        <v>35</v>
      </c>
      <c r="B27" s="23" t="s">
        <v>23</v>
      </c>
      <c r="C27" s="24">
        <f t="shared" si="28"/>
        <v>53710.7</v>
      </c>
      <c r="D27" s="24">
        <f t="shared" si="29"/>
        <v>9689</v>
      </c>
      <c r="E27" s="24">
        <f t="shared" si="0"/>
        <v>18.039236129858669</v>
      </c>
      <c r="F27" s="24">
        <v>757.4</v>
      </c>
      <c r="G27" s="24">
        <v>757.4</v>
      </c>
      <c r="H27" s="24">
        <f t="shared" si="1"/>
        <v>100</v>
      </c>
      <c r="I27" s="24">
        <v>1396.5</v>
      </c>
      <c r="J27" s="24">
        <f>1534-G27</f>
        <v>776.6</v>
      </c>
      <c r="K27" s="24">
        <f t="shared" si="3"/>
        <v>55.610454708199072</v>
      </c>
      <c r="L27" s="25">
        <f>13798.9-2978.2</f>
        <v>10820.7</v>
      </c>
      <c r="M27" s="25">
        <f>9689-J27-G27</f>
        <v>8155</v>
      </c>
      <c r="N27" s="25">
        <f t="shared" si="5"/>
        <v>75.364810040015897</v>
      </c>
      <c r="O27" s="25">
        <f>37757.9+2978.2</f>
        <v>40736.1</v>
      </c>
      <c r="P27" s="24"/>
      <c r="Q27" s="24">
        <f t="shared" si="26"/>
        <v>0</v>
      </c>
      <c r="R27" s="58"/>
    </row>
    <row r="28" spans="1:18" s="7" customFormat="1" ht="42.75" customHeight="1">
      <c r="A28" s="8" t="s">
        <v>36</v>
      </c>
      <c r="B28" s="23" t="s">
        <v>24</v>
      </c>
      <c r="C28" s="24"/>
      <c r="D28" s="24"/>
      <c r="E28" s="24"/>
      <c r="F28" s="24"/>
      <c r="G28" s="24"/>
      <c r="H28" s="24"/>
      <c r="I28" s="24"/>
      <c r="J28" s="24"/>
      <c r="K28" s="24"/>
      <c r="L28" s="25"/>
      <c r="M28" s="25"/>
      <c r="N28" s="25"/>
      <c r="O28" s="25"/>
      <c r="P28" s="24"/>
      <c r="Q28" s="24"/>
      <c r="R28" s="59"/>
    </row>
    <row r="29" spans="1:18" s="13" customFormat="1" ht="14.25" customHeight="1">
      <c r="A29" s="26"/>
      <c r="B29" s="14" t="s">
        <v>28</v>
      </c>
      <c r="C29" s="15"/>
      <c r="D29" s="15"/>
      <c r="E29" s="15"/>
      <c r="F29" s="15"/>
      <c r="G29" s="15"/>
      <c r="H29" s="15"/>
      <c r="I29" s="15"/>
      <c r="J29" s="15"/>
      <c r="K29" s="15"/>
      <c r="L29" s="16"/>
      <c r="M29" s="16"/>
      <c r="N29" s="16"/>
      <c r="O29" s="16"/>
      <c r="P29" s="15"/>
      <c r="Q29" s="15"/>
      <c r="R29" s="60"/>
    </row>
    <row r="30" spans="1:18" s="13" customFormat="1" ht="14.25" customHeight="1">
      <c r="A30" s="26"/>
      <c r="B30" s="14" t="s">
        <v>29</v>
      </c>
      <c r="C30" s="15">
        <f t="shared" si="28"/>
        <v>0</v>
      </c>
      <c r="D30" s="15">
        <f t="shared" si="29"/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6">
        <v>0</v>
      </c>
      <c r="M30" s="16">
        <v>0</v>
      </c>
      <c r="N30" s="16">
        <v>0</v>
      </c>
      <c r="O30" s="16">
        <v>0</v>
      </c>
      <c r="P30" s="15">
        <v>0</v>
      </c>
      <c r="Q30" s="15">
        <v>0</v>
      </c>
      <c r="R30" s="61"/>
    </row>
    <row r="31" spans="1:18" s="18" customFormat="1" ht="31.5" customHeight="1">
      <c r="A31" s="19" t="s">
        <v>37</v>
      </c>
      <c r="B31" s="20" t="s">
        <v>38</v>
      </c>
      <c r="C31" s="21">
        <f>C32+C33+C34+C35</f>
        <v>1997509.8000000003</v>
      </c>
      <c r="D31" s="21">
        <f t="shared" ref="D31:G31" si="30">D32+D33+D34+D35</f>
        <v>1353506.5</v>
      </c>
      <c r="E31" s="21">
        <f t="shared" si="0"/>
        <v>67.759692593247848</v>
      </c>
      <c r="F31" s="21">
        <f>F32+F33+F34+F35</f>
        <v>373030.10000000003</v>
      </c>
      <c r="G31" s="21">
        <f t="shared" si="30"/>
        <v>360661.4</v>
      </c>
      <c r="H31" s="21">
        <f t="shared" si="1"/>
        <v>96.684262208331177</v>
      </c>
      <c r="I31" s="21">
        <f>I32+I33+I34+I35</f>
        <v>665099.49999999988</v>
      </c>
      <c r="J31" s="21">
        <f>J32+J33+J34+J35</f>
        <v>660950.40000000014</v>
      </c>
      <c r="K31" s="21">
        <f t="shared" si="3"/>
        <v>99.376168528167625</v>
      </c>
      <c r="L31" s="22">
        <f>L32+L33+L34+L35</f>
        <v>330906.09999999998</v>
      </c>
      <c r="M31" s="22">
        <f>M32+M33+M34+M35</f>
        <v>331894.7</v>
      </c>
      <c r="N31" s="22">
        <f t="shared" si="5"/>
        <v>100.29875544754239</v>
      </c>
      <c r="O31" s="22">
        <f>O32+O33+O34+O35</f>
        <v>628474.10000000009</v>
      </c>
      <c r="P31" s="21">
        <f>P32+P33+P34+P35</f>
        <v>0</v>
      </c>
      <c r="Q31" s="21">
        <f t="shared" si="26"/>
        <v>0</v>
      </c>
      <c r="R31" s="62" t="s">
        <v>39</v>
      </c>
    </row>
    <row r="32" spans="1:18" s="7" customFormat="1" ht="21.75" customHeight="1">
      <c r="A32" s="27" t="s">
        <v>40</v>
      </c>
      <c r="B32" s="23" t="s">
        <v>21</v>
      </c>
      <c r="C32" s="24">
        <f t="shared" ref="C32:C37" si="31">F32+I32+L32+O32</f>
        <v>14432.099999999999</v>
      </c>
      <c r="D32" s="24">
        <f t="shared" ref="D32:D37" si="32">G32+J32+M32+P32</f>
        <v>3531.9</v>
      </c>
      <c r="E32" s="24">
        <f t="shared" si="0"/>
        <v>24.472529985241238</v>
      </c>
      <c r="F32" s="24">
        <v>2153.6999999999998</v>
      </c>
      <c r="G32" s="24">
        <v>2153.6999999999998</v>
      </c>
      <c r="H32" s="24">
        <f t="shared" si="1"/>
        <v>100</v>
      </c>
      <c r="I32" s="24">
        <v>2820.6</v>
      </c>
      <c r="J32" s="24">
        <f>4132-G32</f>
        <v>1978.3000000000002</v>
      </c>
      <c r="K32" s="24">
        <f t="shared" si="3"/>
        <v>70.137559384528132</v>
      </c>
      <c r="L32" s="25">
        <v>0</v>
      </c>
      <c r="M32" s="25">
        <f>3531.9-J32-G32</f>
        <v>-600.09999999999991</v>
      </c>
      <c r="N32" s="22">
        <v>0</v>
      </c>
      <c r="O32" s="25">
        <v>9457.7999999999993</v>
      </c>
      <c r="P32" s="24"/>
      <c r="Q32" s="24">
        <f t="shared" si="26"/>
        <v>0</v>
      </c>
      <c r="R32" s="63"/>
    </row>
    <row r="33" spans="1:18" s="7" customFormat="1" ht="21.75" customHeight="1">
      <c r="A33" s="28" t="s">
        <v>41</v>
      </c>
      <c r="B33" s="23" t="s">
        <v>22</v>
      </c>
      <c r="C33" s="24">
        <f t="shared" si="31"/>
        <v>1653170.5</v>
      </c>
      <c r="D33" s="24">
        <f t="shared" si="32"/>
        <v>1160943.6000000001</v>
      </c>
      <c r="E33" s="24">
        <f t="shared" si="0"/>
        <v>70.225279243731975</v>
      </c>
      <c r="F33" s="24">
        <f>314077.9</f>
        <v>314077.90000000002</v>
      </c>
      <c r="G33" s="24">
        <v>303668.3</v>
      </c>
      <c r="H33" s="24">
        <f t="shared" si="1"/>
        <v>96.685663015449336</v>
      </c>
      <c r="I33" s="24">
        <v>585317.69999999995</v>
      </c>
      <c r="J33" s="24">
        <f>887883.1-G33-0.1</f>
        <v>584214.70000000007</v>
      </c>
      <c r="K33" s="24">
        <f t="shared" si="3"/>
        <v>99.811555331403795</v>
      </c>
      <c r="L33" s="25">
        <v>270753.5</v>
      </c>
      <c r="M33" s="25">
        <v>273060.59999999998</v>
      </c>
      <c r="N33" s="25">
        <f t="shared" si="5"/>
        <v>100.85210348158009</v>
      </c>
      <c r="O33" s="25">
        <f>483021.4</f>
        <v>483021.4</v>
      </c>
      <c r="P33" s="24"/>
      <c r="Q33" s="24">
        <f t="shared" si="26"/>
        <v>0</v>
      </c>
      <c r="R33" s="63"/>
    </row>
    <row r="34" spans="1:18" s="7" customFormat="1" ht="21.75" customHeight="1">
      <c r="A34" s="28" t="s">
        <v>42</v>
      </c>
      <c r="B34" s="23" t="s">
        <v>23</v>
      </c>
      <c r="C34" s="24">
        <f t="shared" si="31"/>
        <v>329907.20000000007</v>
      </c>
      <c r="D34" s="24">
        <f t="shared" si="32"/>
        <v>189031</v>
      </c>
      <c r="E34" s="24">
        <f t="shared" si="0"/>
        <v>57.298234170093878</v>
      </c>
      <c r="F34" s="24">
        <v>56798.5</v>
      </c>
      <c r="G34" s="24">
        <v>54839.4</v>
      </c>
      <c r="H34" s="24">
        <f t="shared" si="1"/>
        <v>96.550789193376588</v>
      </c>
      <c r="I34" s="24">
        <v>76961.2</v>
      </c>
      <c r="J34" s="24">
        <f>74757.3+0.1</f>
        <v>74757.400000000009</v>
      </c>
      <c r="K34" s="24">
        <f t="shared" si="3"/>
        <v>97.136479160927863</v>
      </c>
      <c r="L34" s="25">
        <v>60152.6</v>
      </c>
      <c r="M34" s="25">
        <f>59434.2</f>
        <v>59434.2</v>
      </c>
      <c r="N34" s="25">
        <f t="shared" si="5"/>
        <v>98.80570415908872</v>
      </c>
      <c r="O34" s="25">
        <f>131129.2+4865.7</f>
        <v>135994.90000000002</v>
      </c>
      <c r="P34" s="24"/>
      <c r="Q34" s="24">
        <f t="shared" si="26"/>
        <v>0</v>
      </c>
      <c r="R34" s="63"/>
    </row>
    <row r="35" spans="1:18" s="7" customFormat="1" ht="49.5" customHeight="1">
      <c r="A35" s="28" t="s">
        <v>43</v>
      </c>
      <c r="B35" s="23" t="s">
        <v>24</v>
      </c>
      <c r="C35" s="24"/>
      <c r="D35" s="24"/>
      <c r="E35" s="24"/>
      <c r="F35" s="24"/>
      <c r="G35" s="24"/>
      <c r="H35" s="24"/>
      <c r="I35" s="24"/>
      <c r="J35" s="24"/>
      <c r="K35" s="24"/>
      <c r="L35" s="25"/>
      <c r="M35" s="25"/>
      <c r="N35" s="25"/>
      <c r="O35" s="25"/>
      <c r="P35" s="24"/>
      <c r="Q35" s="24"/>
      <c r="R35" s="64"/>
    </row>
    <row r="36" spans="1:18" s="13" customFormat="1" ht="14.25" customHeight="1">
      <c r="A36" s="26"/>
      <c r="B36" s="14" t="s">
        <v>28</v>
      </c>
      <c r="C36" s="15"/>
      <c r="D36" s="15"/>
      <c r="E36" s="15"/>
      <c r="F36" s="15"/>
      <c r="G36" s="15"/>
      <c r="H36" s="15"/>
      <c r="I36" s="15"/>
      <c r="J36" s="15"/>
      <c r="K36" s="15"/>
      <c r="L36" s="16"/>
      <c r="M36" s="16"/>
      <c r="N36" s="16"/>
      <c r="O36" s="16"/>
      <c r="P36" s="15"/>
      <c r="Q36" s="15"/>
      <c r="R36" s="17"/>
    </row>
    <row r="37" spans="1:18" s="13" customFormat="1" ht="22.5" customHeight="1">
      <c r="A37" s="26"/>
      <c r="B37" s="14" t="s">
        <v>29</v>
      </c>
      <c r="C37" s="15">
        <f t="shared" si="31"/>
        <v>10559.3</v>
      </c>
      <c r="D37" s="15">
        <f t="shared" si="32"/>
        <v>1866.9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25">
        <v>1866.9</v>
      </c>
      <c r="M37" s="16">
        <v>1866.9</v>
      </c>
      <c r="N37" s="22">
        <f t="shared" si="5"/>
        <v>100</v>
      </c>
      <c r="O37" s="25">
        <v>8692.4</v>
      </c>
      <c r="P37" s="15">
        <v>0</v>
      </c>
      <c r="Q37" s="15">
        <f t="shared" si="26"/>
        <v>0</v>
      </c>
      <c r="R37" s="29"/>
    </row>
    <row r="38" spans="1:18" s="18" customFormat="1" ht="25.5">
      <c r="A38" s="30" t="s">
        <v>44</v>
      </c>
      <c r="B38" s="20" t="s">
        <v>45</v>
      </c>
      <c r="C38" s="21">
        <f>C39+C40+C41+C42</f>
        <v>71544.800000000003</v>
      </c>
      <c r="D38" s="21">
        <f>D39+D40+D41+D42</f>
        <v>53227.8</v>
      </c>
      <c r="E38" s="21">
        <f t="shared" si="0"/>
        <v>74.397859802529325</v>
      </c>
      <c r="F38" s="21">
        <f t="shared" ref="F38:G65" si="33">F39+F40+F41+F42</f>
        <v>17749.300000000003</v>
      </c>
      <c r="G38" s="21">
        <f t="shared" si="33"/>
        <v>16708.099999999999</v>
      </c>
      <c r="H38" s="21">
        <f t="shared" si="1"/>
        <v>94.133853166040325</v>
      </c>
      <c r="I38" s="21">
        <f t="shared" ref="I38:J65" si="34">I39+I40+I41+I42</f>
        <v>26437.4</v>
      </c>
      <c r="J38" s="21">
        <f t="shared" si="34"/>
        <v>26529.800000000003</v>
      </c>
      <c r="K38" s="21">
        <f t="shared" si="3"/>
        <v>100.34950486810352</v>
      </c>
      <c r="L38" s="22">
        <f t="shared" ref="L38:M48" si="35">L39+L40+L41+L42</f>
        <v>9702.4</v>
      </c>
      <c r="M38" s="22">
        <f t="shared" si="35"/>
        <v>9989.9</v>
      </c>
      <c r="N38" s="22">
        <f t="shared" si="5"/>
        <v>102.96318436675462</v>
      </c>
      <c r="O38" s="22">
        <f t="shared" ref="O38:P65" si="36">O39+O40+O41+O42</f>
        <v>17655.7</v>
      </c>
      <c r="P38" s="21">
        <f t="shared" si="36"/>
        <v>0</v>
      </c>
      <c r="Q38" s="21">
        <f t="shared" si="26"/>
        <v>0</v>
      </c>
      <c r="R38" s="62" t="s">
        <v>46</v>
      </c>
    </row>
    <row r="39" spans="1:18" s="7" customFormat="1" ht="12.75">
      <c r="A39" s="8" t="s">
        <v>47</v>
      </c>
      <c r="B39" s="23" t="s">
        <v>21</v>
      </c>
      <c r="C39" s="24">
        <f t="shared" ref="C39:C41" si="37">F39+I39+L39+O39</f>
        <v>69730.399999999994</v>
      </c>
      <c r="D39" s="24">
        <f t="shared" ref="D39:D41" si="38">G39+J39+M39+P39</f>
        <v>51852.5</v>
      </c>
      <c r="E39" s="24">
        <f t="shared" si="0"/>
        <v>74.3613976113718</v>
      </c>
      <c r="F39" s="24">
        <v>17388.7</v>
      </c>
      <c r="G39" s="24">
        <v>16378.6</v>
      </c>
      <c r="H39" s="24">
        <f t="shared" si="1"/>
        <v>94.191055110502802</v>
      </c>
      <c r="I39" s="24">
        <v>25557.8</v>
      </c>
      <c r="J39" s="24">
        <v>25647.5</v>
      </c>
      <c r="K39" s="24">
        <f t="shared" si="3"/>
        <v>100.35096917575066</v>
      </c>
      <c r="L39" s="25">
        <v>9545.5</v>
      </c>
      <c r="M39" s="25">
        <f>51852.5-J39-G39</f>
        <v>9826.4</v>
      </c>
      <c r="N39" s="25">
        <f t="shared" si="5"/>
        <v>102.9427478916767</v>
      </c>
      <c r="O39" s="25">
        <v>17238.400000000001</v>
      </c>
      <c r="P39" s="24"/>
      <c r="Q39" s="24">
        <f t="shared" si="26"/>
        <v>0</v>
      </c>
      <c r="R39" s="63"/>
    </row>
    <row r="40" spans="1:18" s="7" customFormat="1" ht="12.75">
      <c r="A40" s="27" t="s">
        <v>48</v>
      </c>
      <c r="B40" s="23" t="s">
        <v>22</v>
      </c>
      <c r="C40" s="24">
        <f t="shared" si="37"/>
        <v>1784.8000000000002</v>
      </c>
      <c r="D40" s="24">
        <f t="shared" si="38"/>
        <v>1352.9</v>
      </c>
      <c r="E40" s="24">
        <f t="shared" si="0"/>
        <v>75.801210219632452</v>
      </c>
      <c r="F40" s="24">
        <v>353.7</v>
      </c>
      <c r="G40" s="24">
        <v>324.2</v>
      </c>
      <c r="H40" s="24">
        <f t="shared" si="1"/>
        <v>91.659598529827534</v>
      </c>
      <c r="I40" s="24">
        <v>866.2</v>
      </c>
      <c r="J40" s="24">
        <v>867.89999999999986</v>
      </c>
      <c r="K40" s="24">
        <f t="shared" si="3"/>
        <v>100.19625952435925</v>
      </c>
      <c r="L40" s="25">
        <v>154.4</v>
      </c>
      <c r="M40" s="25">
        <f>1352.8-J40-G40+0.1</f>
        <v>160.8000000000001</v>
      </c>
      <c r="N40" s="25">
        <f t="shared" si="5"/>
        <v>104.14507772020731</v>
      </c>
      <c r="O40" s="25">
        <v>410.5</v>
      </c>
      <c r="P40" s="24"/>
      <c r="Q40" s="24">
        <f t="shared" si="26"/>
        <v>0</v>
      </c>
      <c r="R40" s="63"/>
    </row>
    <row r="41" spans="1:18" s="7" customFormat="1" ht="12.75">
      <c r="A41" s="28" t="s">
        <v>49</v>
      </c>
      <c r="B41" s="23" t="s">
        <v>23</v>
      </c>
      <c r="C41" s="24">
        <f t="shared" si="37"/>
        <v>29.6</v>
      </c>
      <c r="D41" s="24">
        <f t="shared" si="38"/>
        <v>22.4</v>
      </c>
      <c r="E41" s="24">
        <f t="shared" si="0"/>
        <v>75.675675675675663</v>
      </c>
      <c r="F41" s="24">
        <v>6.9</v>
      </c>
      <c r="G41" s="24">
        <v>5.3</v>
      </c>
      <c r="H41" s="24">
        <f t="shared" si="1"/>
        <v>76.811594202898547</v>
      </c>
      <c r="I41" s="24">
        <v>13.4</v>
      </c>
      <c r="J41" s="24">
        <v>14.4</v>
      </c>
      <c r="K41" s="24">
        <f t="shared" si="3"/>
        <v>107.46268656716418</v>
      </c>
      <c r="L41" s="25">
        <v>2.5</v>
      </c>
      <c r="M41" s="25">
        <f>22.4-J41-G41</f>
        <v>2.6999999999999984</v>
      </c>
      <c r="N41" s="25">
        <f t="shared" si="5"/>
        <v>107.99999999999994</v>
      </c>
      <c r="O41" s="25">
        <v>6.8</v>
      </c>
      <c r="P41" s="24"/>
      <c r="Q41" s="24">
        <f t="shared" si="26"/>
        <v>0</v>
      </c>
      <c r="R41" s="63"/>
    </row>
    <row r="42" spans="1:18" s="7" customFormat="1" ht="12.75">
      <c r="A42" s="28" t="s">
        <v>50</v>
      </c>
      <c r="B42" s="23" t="s">
        <v>51</v>
      </c>
      <c r="C42" s="24"/>
      <c r="D42" s="24"/>
      <c r="E42" s="24"/>
      <c r="F42" s="24"/>
      <c r="G42" s="24"/>
      <c r="H42" s="24"/>
      <c r="I42" s="24"/>
      <c r="J42" s="24"/>
      <c r="K42" s="24"/>
      <c r="L42" s="25"/>
      <c r="M42" s="25"/>
      <c r="N42" s="25"/>
      <c r="O42" s="25"/>
      <c r="P42" s="24"/>
      <c r="Q42" s="24"/>
      <c r="R42" s="64"/>
    </row>
    <row r="43" spans="1:18" s="18" customFormat="1" ht="38.25">
      <c r="A43" s="30" t="s">
        <v>52</v>
      </c>
      <c r="B43" s="20" t="s">
        <v>53</v>
      </c>
      <c r="C43" s="21">
        <f>C44+C45+C46+C47</f>
        <v>74201.399999999994</v>
      </c>
      <c r="D43" s="21">
        <f>D44+D45+D46+D47</f>
        <v>46158.400000000001</v>
      </c>
      <c r="E43" s="21">
        <f t="shared" si="0"/>
        <v>62.206912538038374</v>
      </c>
      <c r="F43" s="21">
        <f t="shared" si="33"/>
        <v>16707.7</v>
      </c>
      <c r="G43" s="21">
        <f t="shared" si="33"/>
        <v>16701.2</v>
      </c>
      <c r="H43" s="21">
        <f t="shared" si="1"/>
        <v>99.961095782184259</v>
      </c>
      <c r="I43" s="21">
        <f t="shared" si="34"/>
        <v>19552.2</v>
      </c>
      <c r="J43" s="21">
        <f t="shared" si="34"/>
        <v>19103.600000000002</v>
      </c>
      <c r="K43" s="21">
        <f t="shared" si="3"/>
        <v>97.705629034072899</v>
      </c>
      <c r="L43" s="22">
        <f t="shared" si="35"/>
        <v>10299.099999999999</v>
      </c>
      <c r="M43" s="22">
        <f t="shared" si="35"/>
        <v>10353.599999999999</v>
      </c>
      <c r="N43" s="22">
        <f t="shared" si="5"/>
        <v>100.52917245196183</v>
      </c>
      <c r="O43" s="22">
        <f t="shared" si="36"/>
        <v>27642.400000000001</v>
      </c>
      <c r="P43" s="21">
        <f t="shared" si="36"/>
        <v>0</v>
      </c>
      <c r="Q43" s="21">
        <f t="shared" si="26"/>
        <v>0</v>
      </c>
      <c r="R43" s="62" t="s">
        <v>54</v>
      </c>
    </row>
    <row r="44" spans="1:18" s="7" customFormat="1" ht="12.75">
      <c r="A44" s="28" t="s">
        <v>55</v>
      </c>
      <c r="B44" s="23" t="s">
        <v>21</v>
      </c>
      <c r="C44" s="24"/>
      <c r="D44" s="24"/>
      <c r="E44" s="24"/>
      <c r="F44" s="24"/>
      <c r="G44" s="24"/>
      <c r="H44" s="24"/>
      <c r="I44" s="24"/>
      <c r="J44" s="24"/>
      <c r="K44" s="24"/>
      <c r="L44" s="25"/>
      <c r="M44" s="25"/>
      <c r="N44" s="25"/>
      <c r="O44" s="25"/>
      <c r="P44" s="24"/>
      <c r="Q44" s="24"/>
      <c r="R44" s="63"/>
    </row>
    <row r="45" spans="1:18" s="7" customFormat="1" ht="12.75">
      <c r="A45" s="8" t="s">
        <v>56</v>
      </c>
      <c r="B45" s="23" t="s">
        <v>22</v>
      </c>
      <c r="C45" s="24">
        <f t="shared" ref="C45:C46" si="39">F45+I45+L45+O45</f>
        <v>508</v>
      </c>
      <c r="D45" s="24">
        <f t="shared" ref="D45:D46" si="40">G45+J45+M45+P45</f>
        <v>160</v>
      </c>
      <c r="E45" s="24">
        <f t="shared" si="0"/>
        <v>31.496062992125985</v>
      </c>
      <c r="F45" s="24">
        <v>0</v>
      </c>
      <c r="G45" s="24">
        <v>0</v>
      </c>
      <c r="H45" s="24">
        <v>0</v>
      </c>
      <c r="I45" s="24">
        <v>60</v>
      </c>
      <c r="J45" s="24">
        <v>60</v>
      </c>
      <c r="K45" s="24">
        <f t="shared" si="3"/>
        <v>100</v>
      </c>
      <c r="L45" s="25">
        <v>428</v>
      </c>
      <c r="M45" s="25">
        <f>160-J45-G45</f>
        <v>100</v>
      </c>
      <c r="N45" s="25">
        <f t="shared" si="5"/>
        <v>23.364485981308412</v>
      </c>
      <c r="O45" s="25">
        <v>20</v>
      </c>
      <c r="P45" s="24"/>
      <c r="Q45" s="24">
        <f t="shared" si="26"/>
        <v>0</v>
      </c>
      <c r="R45" s="63"/>
    </row>
    <row r="46" spans="1:18" s="7" customFormat="1" ht="12.75">
      <c r="A46" s="27" t="s">
        <v>57</v>
      </c>
      <c r="B46" s="23" t="s">
        <v>23</v>
      </c>
      <c r="C46" s="24">
        <f t="shared" si="39"/>
        <v>73693.399999999994</v>
      </c>
      <c r="D46" s="24">
        <f t="shared" si="40"/>
        <v>45998.400000000001</v>
      </c>
      <c r="E46" s="24">
        <f t="shared" si="0"/>
        <v>62.418615506951781</v>
      </c>
      <c r="F46" s="24">
        <v>16707.7</v>
      </c>
      <c r="G46" s="24">
        <v>16701.2</v>
      </c>
      <c r="H46" s="24">
        <f t="shared" si="1"/>
        <v>99.961095782184259</v>
      </c>
      <c r="I46" s="24">
        <v>19492.2</v>
      </c>
      <c r="J46" s="24">
        <v>19043.600000000002</v>
      </c>
      <c r="K46" s="24">
        <f t="shared" si="3"/>
        <v>97.698566606129646</v>
      </c>
      <c r="L46" s="25">
        <f>15398.8 -5527.7</f>
        <v>9871.0999999999985</v>
      </c>
      <c r="M46" s="25">
        <f>45998.4-J46-G46</f>
        <v>10253.599999999999</v>
      </c>
      <c r="N46" s="25">
        <f t="shared" si="5"/>
        <v>103.87494808076102</v>
      </c>
      <c r="O46" s="25">
        <f>22094.7+5527.7</f>
        <v>27622.400000000001</v>
      </c>
      <c r="P46" s="24"/>
      <c r="Q46" s="24">
        <f t="shared" si="26"/>
        <v>0</v>
      </c>
      <c r="R46" s="63"/>
    </row>
    <row r="47" spans="1:18" s="7" customFormat="1" ht="12.75">
      <c r="A47" s="28" t="s">
        <v>58</v>
      </c>
      <c r="B47" s="23" t="s">
        <v>51</v>
      </c>
      <c r="C47" s="24"/>
      <c r="D47" s="24"/>
      <c r="E47" s="24"/>
      <c r="F47" s="24"/>
      <c r="G47" s="24"/>
      <c r="H47" s="24"/>
      <c r="I47" s="24"/>
      <c r="J47" s="24"/>
      <c r="K47" s="24"/>
      <c r="L47" s="25"/>
      <c r="M47" s="25"/>
      <c r="N47" s="25"/>
      <c r="O47" s="25"/>
      <c r="P47" s="24"/>
      <c r="Q47" s="24"/>
      <c r="R47" s="64"/>
    </row>
    <row r="48" spans="1:18" s="18" customFormat="1" ht="25.5">
      <c r="A48" s="30" t="s">
        <v>59</v>
      </c>
      <c r="B48" s="20" t="s">
        <v>60</v>
      </c>
      <c r="C48" s="21">
        <f>C49+C50+C51+C52</f>
        <v>32723.699999999997</v>
      </c>
      <c r="D48" s="21">
        <f>D49+D50+D51+D52</f>
        <v>26817.8</v>
      </c>
      <c r="E48" s="21">
        <f t="shared" si="0"/>
        <v>81.952224228922773</v>
      </c>
      <c r="F48" s="21">
        <f t="shared" si="33"/>
        <v>631.4</v>
      </c>
      <c r="G48" s="21">
        <f t="shared" si="33"/>
        <v>631.4</v>
      </c>
      <c r="H48" s="21">
        <f t="shared" si="1"/>
        <v>100</v>
      </c>
      <c r="I48" s="21">
        <f t="shared" si="34"/>
        <v>16241</v>
      </c>
      <c r="J48" s="21">
        <f t="shared" si="34"/>
        <v>15407.6</v>
      </c>
      <c r="K48" s="21">
        <f t="shared" si="3"/>
        <v>94.868542577427505</v>
      </c>
      <c r="L48" s="22">
        <f t="shared" si="35"/>
        <v>10608.9</v>
      </c>
      <c r="M48" s="22">
        <f t="shared" si="35"/>
        <v>10778.8</v>
      </c>
      <c r="N48" s="22">
        <f t="shared" si="5"/>
        <v>101.60148554515548</v>
      </c>
      <c r="O48" s="22">
        <f t="shared" si="36"/>
        <v>5242.3999999999996</v>
      </c>
      <c r="P48" s="21">
        <f t="shared" si="36"/>
        <v>0</v>
      </c>
      <c r="Q48" s="21">
        <f t="shared" si="26"/>
        <v>0</v>
      </c>
      <c r="R48" s="62" t="s">
        <v>61</v>
      </c>
    </row>
    <row r="49" spans="1:18" s="7" customFormat="1" ht="12.75">
      <c r="A49" s="28" t="s">
        <v>62</v>
      </c>
      <c r="B49" s="23" t="s">
        <v>21</v>
      </c>
      <c r="C49" s="24"/>
      <c r="D49" s="24"/>
      <c r="E49" s="24"/>
      <c r="F49" s="24"/>
      <c r="G49" s="24"/>
      <c r="H49" s="24"/>
      <c r="I49" s="24"/>
      <c r="J49" s="24"/>
      <c r="K49" s="24"/>
      <c r="L49" s="25"/>
      <c r="M49" s="25"/>
      <c r="N49" s="25"/>
      <c r="O49" s="25"/>
      <c r="P49" s="24"/>
      <c r="Q49" s="24"/>
      <c r="R49" s="63"/>
    </row>
    <row r="50" spans="1:18" s="7" customFormat="1" ht="12.75">
      <c r="A50" s="28" t="s">
        <v>63</v>
      </c>
      <c r="B50" s="23" t="s">
        <v>22</v>
      </c>
      <c r="C50" s="24">
        <f t="shared" ref="C50:C51" si="41">F50+I50+L50+O50</f>
        <v>26107.499999999996</v>
      </c>
      <c r="D50" s="24">
        <f t="shared" ref="D50:D51" si="42">G50+J50+M50+P50</f>
        <v>22495.3</v>
      </c>
      <c r="E50" s="24">
        <f t="shared" si="0"/>
        <v>86.164129081681523</v>
      </c>
      <c r="F50" s="24">
        <v>0</v>
      </c>
      <c r="G50" s="24">
        <v>0</v>
      </c>
      <c r="H50" s="24">
        <v>0</v>
      </c>
      <c r="I50" s="24">
        <v>13367.4</v>
      </c>
      <c r="J50" s="24">
        <v>12748.2</v>
      </c>
      <c r="K50" s="24">
        <f t="shared" si="3"/>
        <v>95.36783518111227</v>
      </c>
      <c r="L50" s="25">
        <f>10260.3-726.5</f>
        <v>9533.7999999999993</v>
      </c>
      <c r="M50" s="25">
        <f>22495.3-J50-G50</f>
        <v>9747.0999999999985</v>
      </c>
      <c r="N50" s="25">
        <f t="shared" si="5"/>
        <v>102.23730306908053</v>
      </c>
      <c r="O50" s="25">
        <f>2479.8+726.5</f>
        <v>3206.3</v>
      </c>
      <c r="P50" s="24"/>
      <c r="Q50" s="24">
        <f t="shared" si="26"/>
        <v>0</v>
      </c>
      <c r="R50" s="63"/>
    </row>
    <row r="51" spans="1:18" s="7" customFormat="1" ht="12.75">
      <c r="A51" s="8" t="s">
        <v>64</v>
      </c>
      <c r="B51" s="23" t="s">
        <v>23</v>
      </c>
      <c r="C51" s="24">
        <f t="shared" si="41"/>
        <v>6616.2000000000007</v>
      </c>
      <c r="D51" s="24">
        <f t="shared" si="42"/>
        <v>4322.5</v>
      </c>
      <c r="E51" s="24">
        <f t="shared" si="0"/>
        <v>65.332063722378393</v>
      </c>
      <c r="F51" s="24">
        <v>631.4</v>
      </c>
      <c r="G51" s="24">
        <v>631.4</v>
      </c>
      <c r="H51" s="24">
        <f t="shared" si="1"/>
        <v>100</v>
      </c>
      <c r="I51" s="21">
        <v>2873.6</v>
      </c>
      <c r="J51" s="24">
        <v>2659.4</v>
      </c>
      <c r="K51" s="24">
        <f t="shared" si="3"/>
        <v>92.545935412026736</v>
      </c>
      <c r="L51" s="25">
        <v>1075.0999999999999</v>
      </c>
      <c r="M51" s="25">
        <f>4322.5-J51-G51</f>
        <v>1031.6999999999998</v>
      </c>
      <c r="N51" s="25">
        <f t="shared" si="5"/>
        <v>95.963166217096074</v>
      </c>
      <c r="O51" s="25">
        <v>2036.1</v>
      </c>
      <c r="P51" s="24"/>
      <c r="Q51" s="24">
        <f t="shared" si="26"/>
        <v>0</v>
      </c>
      <c r="R51" s="63"/>
    </row>
    <row r="52" spans="1:18" s="7" customFormat="1" ht="12.75">
      <c r="A52" s="27" t="s">
        <v>65</v>
      </c>
      <c r="B52" s="23" t="s">
        <v>51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64"/>
    </row>
    <row r="53" spans="1:18" s="18" customFormat="1" ht="25.5">
      <c r="A53" s="30" t="s">
        <v>66</v>
      </c>
      <c r="B53" s="20" t="s">
        <v>67</v>
      </c>
      <c r="C53" s="21">
        <f>C54+C55+C56+C57</f>
        <v>307.70000000000005</v>
      </c>
      <c r="D53" s="21">
        <f>D54+D55+D56+D57</f>
        <v>162.9</v>
      </c>
      <c r="E53" s="21">
        <f t="shared" si="0"/>
        <v>52.941176470588225</v>
      </c>
      <c r="F53" s="21">
        <f t="shared" si="33"/>
        <v>125.4</v>
      </c>
      <c r="G53" s="21">
        <f t="shared" si="33"/>
        <v>106.5</v>
      </c>
      <c r="H53" s="21">
        <f t="shared" si="1"/>
        <v>84.928229665071768</v>
      </c>
      <c r="I53" s="21">
        <f t="shared" si="34"/>
        <v>0</v>
      </c>
      <c r="J53" s="21">
        <f t="shared" si="34"/>
        <v>0</v>
      </c>
      <c r="K53" s="21">
        <v>0</v>
      </c>
      <c r="L53" s="21">
        <f t="shared" ref="L53:M65" si="43">L54+L55+L56+L57</f>
        <v>109.9</v>
      </c>
      <c r="M53" s="21">
        <f t="shared" si="43"/>
        <v>56.400000000000006</v>
      </c>
      <c r="N53" s="21">
        <f t="shared" si="5"/>
        <v>51.319381255686991</v>
      </c>
      <c r="O53" s="21">
        <f t="shared" si="36"/>
        <v>72.400000000000006</v>
      </c>
      <c r="P53" s="21">
        <f t="shared" si="36"/>
        <v>0</v>
      </c>
      <c r="Q53" s="21">
        <f t="shared" si="26"/>
        <v>0</v>
      </c>
      <c r="R53" s="62" t="s">
        <v>68</v>
      </c>
    </row>
    <row r="54" spans="1:18" s="7" customFormat="1" ht="12.75">
      <c r="A54" s="28" t="s">
        <v>69</v>
      </c>
      <c r="B54" s="23" t="s">
        <v>21</v>
      </c>
      <c r="C54" s="24">
        <f t="shared" ref="C54:D56" si="44">F54+I54+L54+O54</f>
        <v>0</v>
      </c>
      <c r="D54" s="24">
        <f t="shared" si="44"/>
        <v>0</v>
      </c>
      <c r="E54" s="24">
        <v>0</v>
      </c>
      <c r="F54" s="24"/>
      <c r="G54" s="24"/>
      <c r="H54" s="24">
        <v>0</v>
      </c>
      <c r="I54" s="24"/>
      <c r="J54" s="24"/>
      <c r="K54" s="24">
        <v>0</v>
      </c>
      <c r="L54" s="24"/>
      <c r="M54" s="24"/>
      <c r="N54" s="24">
        <v>0</v>
      </c>
      <c r="O54" s="24"/>
      <c r="P54" s="24"/>
      <c r="Q54" s="24">
        <v>0</v>
      </c>
      <c r="R54" s="63"/>
    </row>
    <row r="55" spans="1:18" s="7" customFormat="1" ht="12.75">
      <c r="A55" s="28" t="s">
        <v>70</v>
      </c>
      <c r="B55" s="23" t="s">
        <v>22</v>
      </c>
      <c r="C55" s="24">
        <f t="shared" si="44"/>
        <v>0</v>
      </c>
      <c r="D55" s="24">
        <f t="shared" si="44"/>
        <v>0</v>
      </c>
      <c r="E55" s="24">
        <v>0</v>
      </c>
      <c r="F55" s="24"/>
      <c r="G55" s="24"/>
      <c r="H55" s="24">
        <v>0</v>
      </c>
      <c r="I55" s="24"/>
      <c r="J55" s="24"/>
      <c r="K55" s="24">
        <v>0</v>
      </c>
      <c r="L55" s="24"/>
      <c r="M55" s="24"/>
      <c r="N55" s="24">
        <v>0</v>
      </c>
      <c r="O55" s="24"/>
      <c r="P55" s="24"/>
      <c r="Q55" s="24">
        <v>0</v>
      </c>
      <c r="R55" s="63"/>
    </row>
    <row r="56" spans="1:18" s="7" customFormat="1" ht="12.75">
      <c r="A56" s="28" t="s">
        <v>71</v>
      </c>
      <c r="B56" s="23" t="s">
        <v>23</v>
      </c>
      <c r="C56" s="24">
        <f t="shared" si="44"/>
        <v>307.70000000000005</v>
      </c>
      <c r="D56" s="24">
        <f t="shared" si="44"/>
        <v>162.9</v>
      </c>
      <c r="E56" s="24">
        <f t="shared" si="0"/>
        <v>52.941176470588225</v>
      </c>
      <c r="F56" s="24">
        <v>125.4</v>
      </c>
      <c r="G56" s="24">
        <v>106.5</v>
      </c>
      <c r="H56" s="24">
        <f t="shared" si="1"/>
        <v>84.928229665071768</v>
      </c>
      <c r="I56" s="24">
        <v>0</v>
      </c>
      <c r="J56" s="24">
        <v>0</v>
      </c>
      <c r="K56" s="24">
        <v>0</v>
      </c>
      <c r="L56" s="24">
        <v>109.9</v>
      </c>
      <c r="M56" s="24">
        <f>162.9-J56-G56</f>
        <v>56.400000000000006</v>
      </c>
      <c r="N56" s="24">
        <f t="shared" si="5"/>
        <v>51.319381255686991</v>
      </c>
      <c r="O56" s="24">
        <v>72.400000000000006</v>
      </c>
      <c r="P56" s="24"/>
      <c r="Q56" s="24">
        <f t="shared" si="26"/>
        <v>0</v>
      </c>
      <c r="R56" s="63"/>
    </row>
    <row r="57" spans="1:18" s="7" customFormat="1" ht="12.75">
      <c r="A57" s="8" t="s">
        <v>72</v>
      </c>
      <c r="B57" s="23" t="s">
        <v>51</v>
      </c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64"/>
    </row>
    <row r="58" spans="1:18" s="18" customFormat="1" ht="38.25" customHeight="1">
      <c r="A58" s="31" t="s">
        <v>73</v>
      </c>
      <c r="B58" s="20" t="s">
        <v>74</v>
      </c>
      <c r="C58" s="21">
        <f>C59+C60+C61+C62</f>
        <v>260138.9</v>
      </c>
      <c r="D58" s="21">
        <f>D59+D60+D61+D62</f>
        <v>155472.70000000001</v>
      </c>
      <c r="E58" s="24">
        <f t="shared" si="0"/>
        <v>59.765263864804538</v>
      </c>
      <c r="F58" s="21">
        <f t="shared" si="33"/>
        <v>84614</v>
      </c>
      <c r="G58" s="21">
        <f t="shared" si="33"/>
        <v>84614</v>
      </c>
      <c r="H58" s="24">
        <f t="shared" si="1"/>
        <v>100</v>
      </c>
      <c r="I58" s="21">
        <f t="shared" si="34"/>
        <v>94697.099999999991</v>
      </c>
      <c r="J58" s="21">
        <f t="shared" si="34"/>
        <v>94697.099999999991</v>
      </c>
      <c r="K58" s="24">
        <f t="shared" si="3"/>
        <v>100</v>
      </c>
      <c r="L58" s="21">
        <f t="shared" si="43"/>
        <v>80827.8</v>
      </c>
      <c r="M58" s="21">
        <f t="shared" si="43"/>
        <v>-23838.399999999994</v>
      </c>
      <c r="N58" s="24">
        <f t="shared" si="5"/>
        <v>-29.492823013864033</v>
      </c>
      <c r="O58" s="21">
        <f t="shared" si="36"/>
        <v>0</v>
      </c>
      <c r="P58" s="21">
        <f t="shared" si="36"/>
        <v>0</v>
      </c>
      <c r="Q58" s="24">
        <v>0</v>
      </c>
      <c r="R58" s="65" t="s">
        <v>75</v>
      </c>
    </row>
    <row r="59" spans="1:18" s="18" customFormat="1" ht="13.5" customHeight="1">
      <c r="A59" s="30" t="s">
        <v>76</v>
      </c>
      <c r="B59" s="20" t="s">
        <v>21</v>
      </c>
      <c r="C59" s="21">
        <f>F59+I59+L59+O59</f>
        <v>5358.5</v>
      </c>
      <c r="D59" s="21">
        <f t="shared" ref="C59:D64" si="45">G59+J59+M59+P59</f>
        <v>5358.5</v>
      </c>
      <c r="E59" s="21">
        <f t="shared" si="0"/>
        <v>100</v>
      </c>
      <c r="F59" s="21">
        <v>0</v>
      </c>
      <c r="G59" s="21">
        <v>0</v>
      </c>
      <c r="H59" s="21">
        <v>0</v>
      </c>
      <c r="I59" s="21">
        <v>5358.5</v>
      </c>
      <c r="J59" s="21">
        <v>5358.5</v>
      </c>
      <c r="K59" s="21">
        <f t="shared" si="3"/>
        <v>100</v>
      </c>
      <c r="L59" s="21">
        <v>0</v>
      </c>
      <c r="M59" s="21">
        <v>0</v>
      </c>
      <c r="N59" s="24">
        <v>0</v>
      </c>
      <c r="O59" s="21">
        <v>0</v>
      </c>
      <c r="P59" s="21"/>
      <c r="Q59" s="21">
        <v>0</v>
      </c>
      <c r="R59" s="58"/>
    </row>
    <row r="60" spans="1:18" s="7" customFormat="1" ht="12.75" customHeight="1">
      <c r="A60" s="28" t="s">
        <v>77</v>
      </c>
      <c r="B60" s="23" t="s">
        <v>22</v>
      </c>
      <c r="C60" s="24">
        <f t="shared" si="45"/>
        <v>228766.5</v>
      </c>
      <c r="D60" s="24">
        <f t="shared" si="45"/>
        <v>134527.6</v>
      </c>
      <c r="E60" s="24">
        <f t="shared" si="0"/>
        <v>58.805638063265384</v>
      </c>
      <c r="F60" s="24">
        <f>76152.6</f>
        <v>76152.600000000006</v>
      </c>
      <c r="G60" s="24">
        <v>76152.600000000006</v>
      </c>
      <c r="H60" s="24">
        <f t="shared" si="1"/>
        <v>100</v>
      </c>
      <c r="I60" s="24">
        <v>79868.899999999994</v>
      </c>
      <c r="J60" s="24">
        <f>156021.5-G60</f>
        <v>79868.899999999994</v>
      </c>
      <c r="K60" s="24">
        <f t="shared" si="3"/>
        <v>100</v>
      </c>
      <c r="L60" s="24">
        <v>72745</v>
      </c>
      <c r="M60" s="24">
        <f>134527.6-J60-G60</f>
        <v>-21493.899999999994</v>
      </c>
      <c r="N60" s="24">
        <f t="shared" si="5"/>
        <v>-29.546910440580099</v>
      </c>
      <c r="O60" s="24">
        <v>0</v>
      </c>
      <c r="P60" s="24"/>
      <c r="Q60" s="24">
        <v>0</v>
      </c>
      <c r="R60" s="58"/>
    </row>
    <row r="61" spans="1:18" s="7" customFormat="1" ht="12.75" customHeight="1">
      <c r="A61" s="28" t="s">
        <v>78</v>
      </c>
      <c r="B61" s="23" t="s">
        <v>23</v>
      </c>
      <c r="C61" s="24">
        <f t="shared" si="45"/>
        <v>26013.899999999998</v>
      </c>
      <c r="D61" s="24">
        <f t="shared" si="45"/>
        <v>15586.599999999999</v>
      </c>
      <c r="E61" s="24">
        <f t="shared" si="0"/>
        <v>59.916429293569976</v>
      </c>
      <c r="F61" s="24">
        <v>8461.4</v>
      </c>
      <c r="G61" s="24">
        <v>8461.4</v>
      </c>
      <c r="H61" s="24">
        <f t="shared" si="1"/>
        <v>100</v>
      </c>
      <c r="I61" s="24">
        <v>9469.7000000000007</v>
      </c>
      <c r="J61" s="24">
        <v>9469.7000000000007</v>
      </c>
      <c r="K61" s="24">
        <f t="shared" si="3"/>
        <v>100</v>
      </c>
      <c r="L61" s="24">
        <v>8082.8</v>
      </c>
      <c r="M61" s="24">
        <f>15586.6-J61-G61</f>
        <v>-2344.5</v>
      </c>
      <c r="N61" s="24">
        <f t="shared" si="5"/>
        <v>-29.006037511753352</v>
      </c>
      <c r="O61" s="24">
        <v>0</v>
      </c>
      <c r="P61" s="24"/>
      <c r="Q61" s="24">
        <v>0</v>
      </c>
      <c r="R61" s="58"/>
    </row>
    <row r="62" spans="1:18" s="7" customFormat="1" ht="12.75" customHeight="1">
      <c r="A62" s="28" t="s">
        <v>79</v>
      </c>
      <c r="B62" s="23" t="s">
        <v>51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58"/>
    </row>
    <row r="63" spans="1:18" s="13" customFormat="1" ht="14.25" customHeight="1">
      <c r="A63" s="26"/>
      <c r="B63" s="14" t="s">
        <v>28</v>
      </c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58"/>
    </row>
    <row r="64" spans="1:18" s="13" customFormat="1" ht="28.5" customHeight="1">
      <c r="A64" s="26"/>
      <c r="B64" s="14" t="s">
        <v>29</v>
      </c>
      <c r="C64" s="15">
        <f>F64+I64+L64+O64</f>
        <v>361543.4</v>
      </c>
      <c r="D64" s="15">
        <f t="shared" si="45"/>
        <v>355230.9</v>
      </c>
      <c r="E64" s="15">
        <f t="shared" si="0"/>
        <v>98.254013211138698</v>
      </c>
      <c r="F64" s="15">
        <v>0</v>
      </c>
      <c r="G64" s="15">
        <v>0</v>
      </c>
      <c r="H64" s="15">
        <v>0</v>
      </c>
      <c r="I64" s="15">
        <v>158098</v>
      </c>
      <c r="J64" s="15">
        <v>158025.79999999999</v>
      </c>
      <c r="K64" s="15">
        <f t="shared" si="3"/>
        <v>99.954332123113517</v>
      </c>
      <c r="L64" s="15">
        <v>203445.4</v>
      </c>
      <c r="M64" s="15">
        <f>355230.9-J64-G64</f>
        <v>197205.10000000003</v>
      </c>
      <c r="N64" s="15">
        <f t="shared" si="5"/>
        <v>96.932690540066304</v>
      </c>
      <c r="O64" s="15">
        <v>0</v>
      </c>
      <c r="P64" s="15">
        <v>0</v>
      </c>
      <c r="Q64" s="15">
        <v>0</v>
      </c>
      <c r="R64" s="59"/>
    </row>
    <row r="65" spans="1:18" s="13" customFormat="1" ht="25.5">
      <c r="A65" s="54" t="s">
        <v>80</v>
      </c>
      <c r="B65" s="14" t="s">
        <v>81</v>
      </c>
      <c r="C65" s="15">
        <f>C66+C67+C68+C69</f>
        <v>31715.200000000001</v>
      </c>
      <c r="D65" s="15">
        <f>D66+D67+D68+D69</f>
        <v>25133.3</v>
      </c>
      <c r="E65" s="15">
        <f t="shared" si="0"/>
        <v>79.246859549994952</v>
      </c>
      <c r="F65" s="15">
        <f t="shared" si="33"/>
        <v>3568.3</v>
      </c>
      <c r="G65" s="15">
        <f t="shared" si="33"/>
        <v>3568.3</v>
      </c>
      <c r="H65" s="15">
        <f t="shared" si="1"/>
        <v>100</v>
      </c>
      <c r="I65" s="15">
        <f t="shared" si="34"/>
        <v>11217.599999999999</v>
      </c>
      <c r="J65" s="15">
        <f t="shared" si="34"/>
        <v>10630.8</v>
      </c>
      <c r="K65" s="15">
        <f t="shared" si="3"/>
        <v>94.768934531450583</v>
      </c>
      <c r="L65" s="15">
        <f t="shared" si="43"/>
        <v>10773.9</v>
      </c>
      <c r="M65" s="15">
        <f t="shared" si="43"/>
        <v>10934.2</v>
      </c>
      <c r="N65" s="15">
        <f t="shared" si="5"/>
        <v>101.48785490862178</v>
      </c>
      <c r="O65" s="15">
        <f t="shared" si="36"/>
        <v>6155.4</v>
      </c>
      <c r="P65" s="15">
        <f t="shared" si="36"/>
        <v>0</v>
      </c>
      <c r="Q65" s="15">
        <f t="shared" si="26"/>
        <v>0</v>
      </c>
      <c r="R65" s="66" t="s">
        <v>82</v>
      </c>
    </row>
    <row r="66" spans="1:18" s="13" customFormat="1" ht="12.75">
      <c r="A66" s="55"/>
      <c r="B66" s="14" t="s">
        <v>21</v>
      </c>
      <c r="C66" s="15">
        <f t="shared" ref="C66:C69" si="46">C71+C76</f>
        <v>0</v>
      </c>
      <c r="D66" s="15">
        <f t="shared" ref="D66:Q69" si="47">D71+D76</f>
        <v>0</v>
      </c>
      <c r="E66" s="15">
        <v>0</v>
      </c>
      <c r="F66" s="15">
        <f t="shared" si="47"/>
        <v>0</v>
      </c>
      <c r="G66" s="15">
        <f t="shared" si="47"/>
        <v>0</v>
      </c>
      <c r="H66" s="15">
        <f t="shared" si="47"/>
        <v>0</v>
      </c>
      <c r="I66" s="15">
        <f t="shared" si="47"/>
        <v>0</v>
      </c>
      <c r="J66" s="15">
        <f t="shared" si="47"/>
        <v>0</v>
      </c>
      <c r="K66" s="15">
        <f t="shared" si="47"/>
        <v>0</v>
      </c>
      <c r="L66" s="15">
        <f t="shared" si="47"/>
        <v>0</v>
      </c>
      <c r="M66" s="15">
        <f t="shared" si="47"/>
        <v>0</v>
      </c>
      <c r="N66" s="15">
        <f t="shared" si="47"/>
        <v>0</v>
      </c>
      <c r="O66" s="15">
        <f t="shared" si="47"/>
        <v>0</v>
      </c>
      <c r="P66" s="15">
        <f t="shared" si="47"/>
        <v>0</v>
      </c>
      <c r="Q66" s="15">
        <f t="shared" si="47"/>
        <v>0</v>
      </c>
      <c r="R66" s="55"/>
    </row>
    <row r="67" spans="1:18" s="13" customFormat="1" ht="12.75">
      <c r="A67" s="55"/>
      <c r="B67" s="14" t="s">
        <v>22</v>
      </c>
      <c r="C67" s="15">
        <f t="shared" si="46"/>
        <v>2638.4</v>
      </c>
      <c r="D67" s="15">
        <f t="shared" si="47"/>
        <v>2606</v>
      </c>
      <c r="E67" s="15">
        <f t="shared" si="0"/>
        <v>98.771983020012115</v>
      </c>
      <c r="F67" s="15">
        <f t="shared" si="47"/>
        <v>0</v>
      </c>
      <c r="G67" s="15">
        <f t="shared" si="47"/>
        <v>0</v>
      </c>
      <c r="H67" s="15"/>
      <c r="I67" s="15">
        <f t="shared" si="47"/>
        <v>1330</v>
      </c>
      <c r="J67" s="15">
        <f t="shared" si="47"/>
        <v>1330</v>
      </c>
      <c r="K67" s="15">
        <f t="shared" ref="K67:K68" si="48">J67/I67*100</f>
        <v>100</v>
      </c>
      <c r="L67" s="15">
        <f t="shared" si="47"/>
        <v>1308.4000000000001</v>
      </c>
      <c r="M67" s="15">
        <f t="shared" si="47"/>
        <v>1276</v>
      </c>
      <c r="N67" s="15">
        <f t="shared" si="47"/>
        <v>97.523693060226222</v>
      </c>
      <c r="O67" s="15">
        <f t="shared" si="47"/>
        <v>0</v>
      </c>
      <c r="P67" s="15">
        <f t="shared" si="47"/>
        <v>0</v>
      </c>
      <c r="Q67" s="15">
        <f t="shared" si="47"/>
        <v>0</v>
      </c>
      <c r="R67" s="55"/>
    </row>
    <row r="68" spans="1:18" s="13" customFormat="1" ht="12.75">
      <c r="A68" s="55"/>
      <c r="B68" s="14" t="s">
        <v>23</v>
      </c>
      <c r="C68" s="15">
        <f t="shared" si="46"/>
        <v>29076.799999999999</v>
      </c>
      <c r="D68" s="15">
        <f t="shared" si="47"/>
        <v>22527.3</v>
      </c>
      <c r="E68" s="15">
        <f t="shared" si="0"/>
        <v>77.475169207065434</v>
      </c>
      <c r="F68" s="15">
        <f t="shared" si="47"/>
        <v>3568.3</v>
      </c>
      <c r="G68" s="15">
        <f t="shared" si="47"/>
        <v>3568.3</v>
      </c>
      <c r="H68" s="15">
        <f>G68/F68*100</f>
        <v>100</v>
      </c>
      <c r="I68" s="15">
        <f t="shared" si="47"/>
        <v>9887.5999999999985</v>
      </c>
      <c r="J68" s="15">
        <f t="shared" si="47"/>
        <v>9300.7999999999993</v>
      </c>
      <c r="K68" s="15">
        <f t="shared" si="48"/>
        <v>94.065293903475066</v>
      </c>
      <c r="L68" s="15">
        <f t="shared" si="47"/>
        <v>9465.5</v>
      </c>
      <c r="M68" s="15">
        <f t="shared" si="47"/>
        <v>9658.2000000000007</v>
      </c>
      <c r="N68" s="15">
        <f t="shared" si="47"/>
        <v>102.03581427288574</v>
      </c>
      <c r="O68" s="15">
        <f t="shared" si="47"/>
        <v>6155.4</v>
      </c>
      <c r="P68" s="15">
        <f t="shared" si="47"/>
        <v>0</v>
      </c>
      <c r="Q68" s="15">
        <f>P68/O68*100</f>
        <v>0</v>
      </c>
      <c r="R68" s="55"/>
    </row>
    <row r="69" spans="1:18" s="13" customFormat="1" ht="12.75">
      <c r="A69" s="56"/>
      <c r="B69" s="14" t="s">
        <v>51</v>
      </c>
      <c r="C69" s="15">
        <f t="shared" si="46"/>
        <v>0</v>
      </c>
      <c r="D69" s="15">
        <f t="shared" si="47"/>
        <v>0</v>
      </c>
      <c r="E69" s="15">
        <v>0</v>
      </c>
      <c r="F69" s="15">
        <f t="shared" si="47"/>
        <v>0</v>
      </c>
      <c r="G69" s="15">
        <f t="shared" si="47"/>
        <v>0</v>
      </c>
      <c r="H69" s="15">
        <f t="shared" si="47"/>
        <v>0</v>
      </c>
      <c r="I69" s="15">
        <f t="shared" si="47"/>
        <v>0</v>
      </c>
      <c r="J69" s="15">
        <f t="shared" si="47"/>
        <v>0</v>
      </c>
      <c r="K69" s="15">
        <f t="shared" si="47"/>
        <v>0</v>
      </c>
      <c r="L69" s="15">
        <f t="shared" si="47"/>
        <v>0</v>
      </c>
      <c r="M69" s="15">
        <f t="shared" si="47"/>
        <v>0</v>
      </c>
      <c r="N69" s="15">
        <f t="shared" si="47"/>
        <v>0</v>
      </c>
      <c r="O69" s="15">
        <f t="shared" si="47"/>
        <v>0</v>
      </c>
      <c r="P69" s="15">
        <f t="shared" si="47"/>
        <v>0</v>
      </c>
      <c r="Q69" s="15">
        <f t="shared" si="47"/>
        <v>0</v>
      </c>
      <c r="R69" s="55"/>
    </row>
    <row r="70" spans="1:18" s="18" customFormat="1" ht="45.75" customHeight="1">
      <c r="A70" s="31" t="s">
        <v>83</v>
      </c>
      <c r="B70" s="20" t="s">
        <v>84</v>
      </c>
      <c r="C70" s="21">
        <f>C71+C72+C73+C74</f>
        <v>31000.9</v>
      </c>
      <c r="D70" s="21">
        <f>D71+D72+D73+D74</f>
        <v>24419</v>
      </c>
      <c r="E70" s="21">
        <f t="shared" si="0"/>
        <v>78.768680909263921</v>
      </c>
      <c r="F70" s="21">
        <f t="shared" ref="F70:G80" si="49">F71+F72+F73+F74</f>
        <v>3568.3</v>
      </c>
      <c r="G70" s="21">
        <f t="shared" si="49"/>
        <v>3568.3</v>
      </c>
      <c r="H70" s="21">
        <f t="shared" ref="H70:H88" si="50">G70/F70*100</f>
        <v>100</v>
      </c>
      <c r="I70" s="21">
        <f t="shared" ref="I70:J80" si="51">I71+I72+I73+I74</f>
        <v>10503.3</v>
      </c>
      <c r="J70" s="21">
        <f t="shared" si="51"/>
        <v>9916.5</v>
      </c>
      <c r="K70" s="21">
        <f t="shared" ref="K70:K88" si="52">J70/I70*100</f>
        <v>94.41318442775129</v>
      </c>
      <c r="L70" s="21">
        <f t="shared" ref="L70:M80" si="53">L71+L72+L73+L74</f>
        <v>10773.9</v>
      </c>
      <c r="M70" s="21">
        <f t="shared" si="53"/>
        <v>10934.2</v>
      </c>
      <c r="N70" s="21">
        <f t="shared" si="5"/>
        <v>101.48785490862178</v>
      </c>
      <c r="O70" s="21">
        <f t="shared" ref="O70:P80" si="54">O71+O72+O73+O74</f>
        <v>6155.4</v>
      </c>
      <c r="P70" s="21">
        <f t="shared" si="54"/>
        <v>0</v>
      </c>
      <c r="Q70" s="21">
        <f>P70/O70*100</f>
        <v>0</v>
      </c>
      <c r="R70" s="55"/>
    </row>
    <row r="71" spans="1:18" s="7" customFormat="1" ht="12.75">
      <c r="A71" s="28" t="s">
        <v>85</v>
      </c>
      <c r="B71" s="23" t="s">
        <v>21</v>
      </c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55"/>
    </row>
    <row r="72" spans="1:18" s="7" customFormat="1" ht="12.75">
      <c r="A72" s="28" t="s">
        <v>86</v>
      </c>
      <c r="B72" s="23" t="s">
        <v>22</v>
      </c>
      <c r="C72" s="24">
        <f t="shared" ref="C72:C73" si="55">F72+I72+L72+O72</f>
        <v>2138.4</v>
      </c>
      <c r="D72" s="24">
        <f t="shared" ref="D72:D73" si="56">G72+J72+M72+P72</f>
        <v>2106</v>
      </c>
      <c r="E72" s="24">
        <f t="shared" si="0"/>
        <v>98.484848484848484</v>
      </c>
      <c r="F72" s="24"/>
      <c r="G72" s="24">
        <v>0</v>
      </c>
      <c r="H72" s="24">
        <v>0</v>
      </c>
      <c r="I72" s="24">
        <v>830</v>
      </c>
      <c r="J72" s="24">
        <v>830</v>
      </c>
      <c r="K72" s="24">
        <f t="shared" si="52"/>
        <v>100</v>
      </c>
      <c r="L72" s="24">
        <v>1308.4000000000001</v>
      </c>
      <c r="M72" s="24">
        <f>2106-J72-G72</f>
        <v>1276</v>
      </c>
      <c r="N72" s="24">
        <f t="shared" si="5"/>
        <v>97.523693060226222</v>
      </c>
      <c r="O72" s="24"/>
      <c r="P72" s="24"/>
      <c r="Q72" s="24">
        <v>0</v>
      </c>
      <c r="R72" s="55"/>
    </row>
    <row r="73" spans="1:18" s="7" customFormat="1" ht="12.75">
      <c r="A73" s="28" t="s">
        <v>87</v>
      </c>
      <c r="B73" s="23" t="s">
        <v>23</v>
      </c>
      <c r="C73" s="24">
        <f t="shared" si="55"/>
        <v>28862.5</v>
      </c>
      <c r="D73" s="24">
        <f t="shared" si="56"/>
        <v>22313</v>
      </c>
      <c r="E73" s="24">
        <f t="shared" si="0"/>
        <v>77.307925508878299</v>
      </c>
      <c r="F73" s="24">
        <v>3568.3</v>
      </c>
      <c r="G73" s="24">
        <v>3568.3</v>
      </c>
      <c r="H73" s="24">
        <f t="shared" si="50"/>
        <v>100</v>
      </c>
      <c r="I73" s="24">
        <v>9673.2999999999993</v>
      </c>
      <c r="J73" s="24">
        <f>12654.8-G73</f>
        <v>9086.5</v>
      </c>
      <c r="K73" s="24">
        <f t="shared" si="52"/>
        <v>93.933817828455659</v>
      </c>
      <c r="L73" s="24">
        <v>9465.5</v>
      </c>
      <c r="M73" s="24">
        <f>22313-J73-G73</f>
        <v>9658.2000000000007</v>
      </c>
      <c r="N73" s="24">
        <f t="shared" si="5"/>
        <v>102.03581427288574</v>
      </c>
      <c r="O73" s="24">
        <v>6155.4</v>
      </c>
      <c r="P73" s="24"/>
      <c r="Q73" s="24">
        <f t="shared" ref="Q73:Q88" si="57">P73/O73*100</f>
        <v>0</v>
      </c>
      <c r="R73" s="55"/>
    </row>
    <row r="74" spans="1:18" s="7" customFormat="1" ht="12.75">
      <c r="A74" s="28" t="s">
        <v>88</v>
      </c>
      <c r="B74" s="23" t="s">
        <v>51</v>
      </c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55"/>
    </row>
    <row r="75" spans="1:18" s="18" customFormat="1" ht="25.5">
      <c r="A75" s="31" t="s">
        <v>89</v>
      </c>
      <c r="B75" s="20" t="s">
        <v>90</v>
      </c>
      <c r="C75" s="21">
        <f>C76+C77+C78+C79</f>
        <v>714.3</v>
      </c>
      <c r="D75" s="21">
        <f>D76+D77+D78+D79</f>
        <v>714.3</v>
      </c>
      <c r="E75" s="21">
        <f t="shared" ref="E75:E88" si="58">D75/C75*100</f>
        <v>100</v>
      </c>
      <c r="F75" s="21">
        <f t="shared" si="49"/>
        <v>0</v>
      </c>
      <c r="G75" s="21">
        <f t="shared" si="49"/>
        <v>0</v>
      </c>
      <c r="H75" s="21">
        <v>0</v>
      </c>
      <c r="I75" s="21">
        <f t="shared" si="51"/>
        <v>714.3</v>
      </c>
      <c r="J75" s="21">
        <f t="shared" si="51"/>
        <v>714.3</v>
      </c>
      <c r="K75" s="21">
        <f t="shared" si="52"/>
        <v>100</v>
      </c>
      <c r="L75" s="21">
        <f t="shared" si="53"/>
        <v>0</v>
      </c>
      <c r="M75" s="21">
        <f t="shared" si="53"/>
        <v>0</v>
      </c>
      <c r="N75" s="21">
        <v>0</v>
      </c>
      <c r="O75" s="21">
        <f t="shared" si="54"/>
        <v>0</v>
      </c>
      <c r="P75" s="21">
        <f t="shared" si="54"/>
        <v>0</v>
      </c>
      <c r="Q75" s="21">
        <v>0</v>
      </c>
      <c r="R75" s="55"/>
    </row>
    <row r="76" spans="1:18" s="7" customFormat="1" ht="12.75">
      <c r="A76" s="28" t="s">
        <v>91</v>
      </c>
      <c r="B76" s="23" t="s">
        <v>21</v>
      </c>
      <c r="C76" s="24">
        <f t="shared" ref="C76:C78" si="59">F76+I76+L76+O76</f>
        <v>0</v>
      </c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55"/>
    </row>
    <row r="77" spans="1:18" s="7" customFormat="1" ht="12.75">
      <c r="A77" s="28" t="s">
        <v>92</v>
      </c>
      <c r="B77" s="23" t="s">
        <v>22</v>
      </c>
      <c r="C77" s="24">
        <f t="shared" si="59"/>
        <v>500</v>
      </c>
      <c r="D77" s="24">
        <f t="shared" ref="D77:D78" si="60">G77+J77+M77+P77</f>
        <v>500</v>
      </c>
      <c r="E77" s="24">
        <f t="shared" si="58"/>
        <v>100</v>
      </c>
      <c r="F77" s="24"/>
      <c r="G77" s="24">
        <v>0</v>
      </c>
      <c r="H77" s="24"/>
      <c r="I77" s="24">
        <v>500</v>
      </c>
      <c r="J77" s="24">
        <v>500</v>
      </c>
      <c r="K77" s="24">
        <f t="shared" si="52"/>
        <v>100</v>
      </c>
      <c r="L77" s="24"/>
      <c r="M77" s="24"/>
      <c r="N77" s="24"/>
      <c r="O77" s="24"/>
      <c r="P77" s="24"/>
      <c r="Q77" s="24"/>
      <c r="R77" s="55"/>
    </row>
    <row r="78" spans="1:18" s="7" customFormat="1" ht="12.75">
      <c r="A78" s="28" t="s">
        <v>93</v>
      </c>
      <c r="B78" s="23" t="s">
        <v>23</v>
      </c>
      <c r="C78" s="24">
        <f t="shared" si="59"/>
        <v>214.3</v>
      </c>
      <c r="D78" s="24">
        <f t="shared" si="60"/>
        <v>214.3</v>
      </c>
      <c r="E78" s="24">
        <f t="shared" si="58"/>
        <v>100</v>
      </c>
      <c r="F78" s="24"/>
      <c r="G78" s="24">
        <v>0</v>
      </c>
      <c r="H78" s="24"/>
      <c r="I78" s="24">
        <v>214.3</v>
      </c>
      <c r="J78" s="24">
        <v>214.3</v>
      </c>
      <c r="K78" s="24">
        <f t="shared" si="52"/>
        <v>100</v>
      </c>
      <c r="L78" s="24"/>
      <c r="M78" s="24"/>
      <c r="N78" s="24"/>
      <c r="O78" s="24"/>
      <c r="P78" s="24"/>
      <c r="Q78" s="24"/>
      <c r="R78" s="55"/>
    </row>
    <row r="79" spans="1:18" s="7" customFormat="1" ht="12.75">
      <c r="A79" s="28" t="s">
        <v>94</v>
      </c>
      <c r="B79" s="23" t="s">
        <v>51</v>
      </c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56"/>
    </row>
    <row r="80" spans="1:18" s="13" customFormat="1" ht="15" customHeight="1">
      <c r="A80" s="67" t="s">
        <v>95</v>
      </c>
      <c r="B80" s="14" t="s">
        <v>96</v>
      </c>
      <c r="C80" s="15">
        <f>C81+C82+C83+C84</f>
        <v>45895.799999999996</v>
      </c>
      <c r="D80" s="15">
        <f>D81+D82+D83+D84</f>
        <v>32979</v>
      </c>
      <c r="E80" s="15">
        <f t="shared" si="58"/>
        <v>71.856248284156734</v>
      </c>
      <c r="F80" s="15">
        <f t="shared" si="49"/>
        <v>12749.8</v>
      </c>
      <c r="G80" s="15">
        <f t="shared" si="49"/>
        <v>10956.300000000001</v>
      </c>
      <c r="H80" s="15">
        <f t="shared" si="50"/>
        <v>85.93311267627729</v>
      </c>
      <c r="I80" s="15">
        <f t="shared" si="51"/>
        <v>12596.300000000001</v>
      </c>
      <c r="J80" s="15">
        <f t="shared" si="51"/>
        <v>11002.299999999997</v>
      </c>
      <c r="K80" s="15">
        <f t="shared" si="52"/>
        <v>87.345490342402115</v>
      </c>
      <c r="L80" s="15">
        <f t="shared" si="53"/>
        <v>8413.6</v>
      </c>
      <c r="M80" s="15">
        <f t="shared" si="53"/>
        <v>11020.400000000001</v>
      </c>
      <c r="N80" s="15">
        <f t="shared" ref="N80:N88" si="61">M80/L80*100</f>
        <v>130.98317010554342</v>
      </c>
      <c r="O80" s="15">
        <f t="shared" si="54"/>
        <v>12136.1</v>
      </c>
      <c r="P80" s="15">
        <f t="shared" si="54"/>
        <v>0</v>
      </c>
      <c r="Q80" s="15">
        <f t="shared" si="57"/>
        <v>0</v>
      </c>
      <c r="R80" s="57" t="s">
        <v>97</v>
      </c>
    </row>
    <row r="81" spans="1:18" s="13" customFormat="1" ht="12.75">
      <c r="A81" s="68"/>
      <c r="B81" s="14" t="s">
        <v>21</v>
      </c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58"/>
    </row>
    <row r="82" spans="1:18" s="13" customFormat="1" ht="12.75">
      <c r="A82" s="68"/>
      <c r="B82" s="14" t="s">
        <v>22</v>
      </c>
      <c r="C82" s="15">
        <f t="shared" ref="C82:D83" si="62">C87</f>
        <v>1287.1000000000001</v>
      </c>
      <c r="D82" s="15">
        <f t="shared" si="62"/>
        <v>1087.8</v>
      </c>
      <c r="E82" s="15">
        <f t="shared" si="58"/>
        <v>84.515577655193823</v>
      </c>
      <c r="F82" s="15">
        <f t="shared" ref="F82:G83" si="63">F87</f>
        <v>306.8</v>
      </c>
      <c r="G82" s="15">
        <f t="shared" si="63"/>
        <v>271.10000000000002</v>
      </c>
      <c r="H82" s="15">
        <f t="shared" si="50"/>
        <v>88.363754889178622</v>
      </c>
      <c r="I82" s="15">
        <f t="shared" ref="I82:J83" si="64">I87</f>
        <v>500.6</v>
      </c>
      <c r="J82" s="15">
        <f t="shared" si="64"/>
        <v>497.9</v>
      </c>
      <c r="K82" s="15">
        <f t="shared" si="52"/>
        <v>99.460647223331989</v>
      </c>
      <c r="L82" s="15">
        <f t="shared" ref="L82:M83" si="65">L87</f>
        <v>307.2</v>
      </c>
      <c r="M82" s="15">
        <f t="shared" si="65"/>
        <v>318.79999999999995</v>
      </c>
      <c r="N82" s="15">
        <f t="shared" si="61"/>
        <v>103.77604166666666</v>
      </c>
      <c r="O82" s="15">
        <f t="shared" ref="O82:P83" si="66">O87</f>
        <v>172.5</v>
      </c>
      <c r="P82" s="15">
        <f t="shared" si="66"/>
        <v>0</v>
      </c>
      <c r="Q82" s="15">
        <f t="shared" si="57"/>
        <v>0</v>
      </c>
      <c r="R82" s="58"/>
    </row>
    <row r="83" spans="1:18" s="13" customFormat="1" ht="12.75">
      <c r="A83" s="68"/>
      <c r="B83" s="14" t="s">
        <v>23</v>
      </c>
      <c r="C83" s="15">
        <f t="shared" si="62"/>
        <v>44608.7</v>
      </c>
      <c r="D83" s="15">
        <f t="shared" si="62"/>
        <v>31891.200000000001</v>
      </c>
      <c r="E83" s="15">
        <f t="shared" si="58"/>
        <v>71.490987184114317</v>
      </c>
      <c r="F83" s="15">
        <f t="shared" si="63"/>
        <v>12443</v>
      </c>
      <c r="G83" s="15">
        <f t="shared" si="63"/>
        <v>10685.2</v>
      </c>
      <c r="H83" s="15">
        <f t="shared" si="50"/>
        <v>85.87318170859119</v>
      </c>
      <c r="I83" s="15">
        <f t="shared" si="64"/>
        <v>12095.7</v>
      </c>
      <c r="J83" s="15">
        <f t="shared" si="64"/>
        <v>10504.399999999998</v>
      </c>
      <c r="K83" s="15">
        <f t="shared" si="52"/>
        <v>86.84408508808913</v>
      </c>
      <c r="L83" s="15">
        <f t="shared" si="65"/>
        <v>8106.4</v>
      </c>
      <c r="M83" s="15">
        <f t="shared" si="65"/>
        <v>10701.600000000002</v>
      </c>
      <c r="N83" s="15">
        <f t="shared" si="61"/>
        <v>132.01421099378271</v>
      </c>
      <c r="O83" s="15">
        <f t="shared" si="66"/>
        <v>11963.6</v>
      </c>
      <c r="P83" s="15">
        <f t="shared" si="66"/>
        <v>0</v>
      </c>
      <c r="Q83" s="15">
        <f t="shared" si="57"/>
        <v>0</v>
      </c>
      <c r="R83" s="58"/>
    </row>
    <row r="84" spans="1:18" s="13" customFormat="1" ht="12.75">
      <c r="A84" s="69"/>
      <c r="B84" s="14" t="s">
        <v>51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58"/>
    </row>
    <row r="85" spans="1:18" s="18" customFormat="1" ht="88.5" customHeight="1">
      <c r="A85" s="31" t="s">
        <v>98</v>
      </c>
      <c r="B85" s="20" t="s">
        <v>99</v>
      </c>
      <c r="C85" s="21">
        <f>C86+C87+C88+C89</f>
        <v>45895.799999999996</v>
      </c>
      <c r="D85" s="21">
        <f>D86+D87+D88+D89</f>
        <v>32979</v>
      </c>
      <c r="E85" s="21">
        <f t="shared" si="58"/>
        <v>71.856248284156734</v>
      </c>
      <c r="F85" s="21">
        <f t="shared" ref="F85:G85" si="67">F86+F87+F88+F89</f>
        <v>12749.8</v>
      </c>
      <c r="G85" s="21">
        <f t="shared" si="67"/>
        <v>10956.300000000001</v>
      </c>
      <c r="H85" s="21">
        <f t="shared" si="50"/>
        <v>85.93311267627729</v>
      </c>
      <c r="I85" s="21">
        <f t="shared" ref="I85:J85" si="68">I86+I87+I88+I89</f>
        <v>12596.300000000001</v>
      </c>
      <c r="J85" s="21">
        <f t="shared" si="68"/>
        <v>11002.299999999997</v>
      </c>
      <c r="K85" s="21">
        <f t="shared" si="52"/>
        <v>87.345490342402115</v>
      </c>
      <c r="L85" s="21">
        <f t="shared" ref="L85:M85" si="69">L86+L87+L88+L89</f>
        <v>8413.6</v>
      </c>
      <c r="M85" s="21">
        <f t="shared" si="69"/>
        <v>11020.400000000001</v>
      </c>
      <c r="N85" s="21">
        <f t="shared" si="61"/>
        <v>130.98317010554342</v>
      </c>
      <c r="O85" s="21">
        <f t="shared" ref="O85:P85" si="70">O86+O87+O88+O89</f>
        <v>12136.1</v>
      </c>
      <c r="P85" s="21">
        <f t="shared" si="70"/>
        <v>0</v>
      </c>
      <c r="Q85" s="21">
        <f t="shared" si="57"/>
        <v>0</v>
      </c>
      <c r="R85" s="58"/>
    </row>
    <row r="86" spans="1:18" s="7" customFormat="1" ht="12.75">
      <c r="A86" s="28" t="s">
        <v>100</v>
      </c>
      <c r="B86" s="23" t="s">
        <v>21</v>
      </c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24"/>
      <c r="R86" s="58"/>
    </row>
    <row r="87" spans="1:18" s="7" customFormat="1" ht="12.75">
      <c r="A87" s="28" t="s">
        <v>101</v>
      </c>
      <c r="B87" s="23" t="s">
        <v>22</v>
      </c>
      <c r="C87" s="24">
        <f t="shared" ref="C87:C88" si="71">F87+I87+L87+O87</f>
        <v>1287.1000000000001</v>
      </c>
      <c r="D87" s="24">
        <f t="shared" ref="D87:D88" si="72">G87+J87+M87+P87</f>
        <v>1087.8</v>
      </c>
      <c r="E87" s="24">
        <f t="shared" si="58"/>
        <v>84.515577655193823</v>
      </c>
      <c r="F87" s="24">
        <v>306.8</v>
      </c>
      <c r="G87" s="24">
        <v>271.10000000000002</v>
      </c>
      <c r="H87" s="24">
        <f t="shared" si="50"/>
        <v>88.363754889178622</v>
      </c>
      <c r="I87" s="24">
        <v>500.6</v>
      </c>
      <c r="J87" s="24">
        <f>769-G87</f>
        <v>497.9</v>
      </c>
      <c r="K87" s="24">
        <f t="shared" si="52"/>
        <v>99.460647223331989</v>
      </c>
      <c r="L87" s="25">
        <v>307.2</v>
      </c>
      <c r="M87" s="25">
        <f>1087.8-J87-G87</f>
        <v>318.79999999999995</v>
      </c>
      <c r="N87" s="25">
        <f t="shared" si="61"/>
        <v>103.77604166666666</v>
      </c>
      <c r="O87" s="25">
        <v>172.5</v>
      </c>
      <c r="P87" s="24"/>
      <c r="Q87" s="24">
        <f t="shared" si="57"/>
        <v>0</v>
      </c>
      <c r="R87" s="58"/>
    </row>
    <row r="88" spans="1:18" s="7" customFormat="1" ht="12.75">
      <c r="A88" s="28" t="s">
        <v>102</v>
      </c>
      <c r="B88" s="23" t="s">
        <v>23</v>
      </c>
      <c r="C88" s="24">
        <f t="shared" si="71"/>
        <v>44608.7</v>
      </c>
      <c r="D88" s="24">
        <f t="shared" si="72"/>
        <v>31891.200000000001</v>
      </c>
      <c r="E88" s="24">
        <f t="shared" si="58"/>
        <v>71.490987184114317</v>
      </c>
      <c r="F88" s="24">
        <v>12443</v>
      </c>
      <c r="G88" s="24">
        <v>10685.2</v>
      </c>
      <c r="H88" s="24">
        <f t="shared" si="50"/>
        <v>85.87318170859119</v>
      </c>
      <c r="I88" s="24">
        <v>12095.7</v>
      </c>
      <c r="J88" s="24">
        <f>21189.6-G88</f>
        <v>10504.399999999998</v>
      </c>
      <c r="K88" s="24">
        <f t="shared" si="52"/>
        <v>86.84408508808913</v>
      </c>
      <c r="L88" s="25">
        <f>8731-624.6</f>
        <v>8106.4</v>
      </c>
      <c r="M88" s="25">
        <f>31891.2-J88-G88</f>
        <v>10701.600000000002</v>
      </c>
      <c r="N88" s="25">
        <f t="shared" si="61"/>
        <v>132.01421099378271</v>
      </c>
      <c r="O88" s="25">
        <f>11339+624.6</f>
        <v>11963.6</v>
      </c>
      <c r="P88" s="24"/>
      <c r="Q88" s="24">
        <f t="shared" si="57"/>
        <v>0</v>
      </c>
      <c r="R88" s="58"/>
    </row>
    <row r="89" spans="1:18" s="7" customFormat="1" ht="12.75">
      <c r="A89" s="28" t="s">
        <v>103</v>
      </c>
      <c r="B89" s="23" t="s">
        <v>51</v>
      </c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59"/>
    </row>
    <row r="90" spans="1:18" s="7" customFormat="1" ht="12.75">
      <c r="A90" s="32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5"/>
    </row>
    <row r="92" spans="1:18" ht="27.75" customHeight="1">
      <c r="A92" s="70" t="s">
        <v>104</v>
      </c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</row>
  </sheetData>
  <autoFilter ref="A10:R89"/>
  <mergeCells count="33">
    <mergeCell ref="A92:R92"/>
    <mergeCell ref="R58:R64"/>
    <mergeCell ref="A65:A69"/>
    <mergeCell ref="R65:R79"/>
    <mergeCell ref="A80:A84"/>
    <mergeCell ref="R80:R89"/>
    <mergeCell ref="R31:R35"/>
    <mergeCell ref="R38:R42"/>
    <mergeCell ref="R43:R47"/>
    <mergeCell ref="R48:R52"/>
    <mergeCell ref="R53:R57"/>
    <mergeCell ref="A16:B16"/>
    <mergeCell ref="A17:A23"/>
    <mergeCell ref="R17:R21"/>
    <mergeCell ref="R24:R28"/>
    <mergeCell ref="R29:R30"/>
    <mergeCell ref="A11:B11"/>
    <mergeCell ref="A12:B12"/>
    <mergeCell ref="A13:B13"/>
    <mergeCell ref="A14:B14"/>
    <mergeCell ref="A15:B15"/>
    <mergeCell ref="A3:R3"/>
    <mergeCell ref="A4:R4"/>
    <mergeCell ref="M5:N5"/>
    <mergeCell ref="A7:A9"/>
    <mergeCell ref="B7:B9"/>
    <mergeCell ref="C7:Q7"/>
    <mergeCell ref="R7:R9"/>
    <mergeCell ref="C8:E8"/>
    <mergeCell ref="F8:H8"/>
    <mergeCell ref="I8:K8"/>
    <mergeCell ref="L8:N8"/>
    <mergeCell ref="O8:Q8"/>
  </mergeCells>
  <pageMargins left="0.11811023622047245" right="0.11811023622047245" top="0.15748031496062992" bottom="0.15748031496062992" header="0.31496062992125984" footer="0.31496062992125984"/>
  <pageSetup paperSize="9" scale="36" fitToHeight="3" orientation="landscape" horizontalDpi="180" verticalDpi="18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9"/>
  <sheetViews>
    <sheetView tabSelected="1" topLeftCell="A14" zoomScale="110" zoomScaleNormal="110" workbookViewId="0">
      <selection activeCell="BK63" sqref="BK63"/>
    </sheetView>
  </sheetViews>
  <sheetFormatPr defaultColWidth="9.140625" defaultRowHeight="15"/>
  <cols>
    <col min="1" max="1" width="9.140625" style="109"/>
    <col min="2" max="2" width="50.7109375" style="109" customWidth="1"/>
    <col min="3" max="3" width="9.140625" style="110"/>
    <col min="4" max="5" width="10.42578125" style="110" customWidth="1"/>
    <col min="6" max="6" width="12.28515625" style="110" customWidth="1"/>
    <col min="7" max="7" width="10.42578125" style="110" customWidth="1"/>
    <col min="8" max="8" width="11.5703125" style="110" customWidth="1"/>
    <col min="9" max="9" width="10.42578125" style="110" customWidth="1"/>
    <col min="10" max="10" width="11.28515625" style="110" customWidth="1"/>
    <col min="11" max="11" width="10.42578125" style="110" customWidth="1"/>
    <col min="12" max="12" width="11.7109375" style="110" customWidth="1"/>
    <col min="13" max="13" width="11.42578125" style="110" customWidth="1"/>
    <col min="14" max="14" width="46.5703125" style="111" customWidth="1"/>
    <col min="15" max="16384" width="9.140625" style="92"/>
  </cols>
  <sheetData>
    <row r="1" spans="1:15">
      <c r="N1" s="111" t="s">
        <v>105</v>
      </c>
    </row>
    <row r="2" spans="1:15">
      <c r="A2" s="112" t="s">
        <v>1</v>
      </c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2"/>
    </row>
    <row r="3" spans="1:15">
      <c r="A3" s="112" t="s">
        <v>106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2"/>
    </row>
    <row r="5" spans="1:15" ht="30.75" customHeight="1">
      <c r="A5" s="114" t="s">
        <v>4</v>
      </c>
      <c r="B5" s="114" t="s">
        <v>107</v>
      </c>
      <c r="C5" s="115" t="s">
        <v>108</v>
      </c>
      <c r="D5" s="116" t="s">
        <v>109</v>
      </c>
      <c r="E5" s="117"/>
      <c r="F5" s="117"/>
      <c r="G5" s="117"/>
      <c r="H5" s="117"/>
      <c r="I5" s="117"/>
      <c r="J5" s="117"/>
      <c r="K5" s="117"/>
      <c r="L5" s="118"/>
      <c r="M5" s="115" t="s">
        <v>110</v>
      </c>
      <c r="N5" s="114" t="s">
        <v>111</v>
      </c>
    </row>
    <row r="6" spans="1:15" ht="81.75" customHeight="1">
      <c r="A6" s="119"/>
      <c r="B6" s="119"/>
      <c r="C6" s="120"/>
      <c r="D6" s="121" t="s">
        <v>112</v>
      </c>
      <c r="E6" s="121" t="s">
        <v>113</v>
      </c>
      <c r="F6" s="121" t="s">
        <v>114</v>
      </c>
      <c r="G6" s="121" t="s">
        <v>115</v>
      </c>
      <c r="H6" s="121" t="s">
        <v>116</v>
      </c>
      <c r="I6" s="121" t="s">
        <v>117</v>
      </c>
      <c r="J6" s="121" t="s">
        <v>118</v>
      </c>
      <c r="K6" s="121" t="s">
        <v>119</v>
      </c>
      <c r="L6" s="121" t="s">
        <v>120</v>
      </c>
      <c r="M6" s="120"/>
      <c r="N6" s="119"/>
    </row>
    <row r="7" spans="1:15">
      <c r="A7" s="91">
        <v>1</v>
      </c>
      <c r="B7" s="91">
        <v>2</v>
      </c>
      <c r="C7" s="121">
        <v>3</v>
      </c>
      <c r="D7" s="121">
        <v>4</v>
      </c>
      <c r="E7" s="121">
        <v>5</v>
      </c>
      <c r="F7" s="121">
        <v>6</v>
      </c>
      <c r="G7" s="121">
        <v>7</v>
      </c>
      <c r="H7" s="121">
        <v>8</v>
      </c>
      <c r="I7" s="121">
        <v>9</v>
      </c>
      <c r="J7" s="121">
        <v>10</v>
      </c>
      <c r="K7" s="121">
        <v>11</v>
      </c>
      <c r="L7" s="121">
        <v>12</v>
      </c>
      <c r="M7" s="121">
        <v>13</v>
      </c>
      <c r="N7" s="91">
        <v>14</v>
      </c>
    </row>
    <row r="8" spans="1:15" ht="30" customHeight="1">
      <c r="A8" s="122" t="s">
        <v>121</v>
      </c>
      <c r="B8" s="114"/>
      <c r="C8" s="123"/>
      <c r="D8" s="123"/>
      <c r="E8" s="123"/>
      <c r="F8" s="123"/>
      <c r="G8" s="123"/>
      <c r="H8" s="123"/>
      <c r="I8" s="123"/>
      <c r="J8" s="123"/>
      <c r="K8" s="123"/>
      <c r="L8" s="123"/>
      <c r="M8" s="123"/>
      <c r="N8" s="91"/>
    </row>
    <row r="9" spans="1:15" ht="67.5" customHeight="1">
      <c r="A9" s="124" t="s">
        <v>122</v>
      </c>
      <c r="B9" s="91" t="s">
        <v>123</v>
      </c>
      <c r="C9" s="125" t="s">
        <v>124</v>
      </c>
      <c r="D9" s="98">
        <v>62.9</v>
      </c>
      <c r="E9" s="98">
        <v>63.36</v>
      </c>
      <c r="F9" s="98">
        <f>E9/D9*100</f>
        <v>100.73131955484898</v>
      </c>
      <c r="G9" s="98">
        <v>78</v>
      </c>
      <c r="H9" s="98">
        <f>G9/D9*100</f>
        <v>124.00635930047694</v>
      </c>
      <c r="I9" s="98">
        <v>71</v>
      </c>
      <c r="J9" s="98">
        <f>I9/D9*100</f>
        <v>112.87758346581876</v>
      </c>
      <c r="K9" s="98"/>
      <c r="L9" s="98">
        <f>K9/D9*100</f>
        <v>0</v>
      </c>
      <c r="M9" s="98"/>
      <c r="N9" s="121" t="s">
        <v>125</v>
      </c>
    </row>
    <row r="10" spans="1:15" ht="63.75" customHeight="1">
      <c r="A10" s="124" t="s">
        <v>80</v>
      </c>
      <c r="B10" s="126" t="s">
        <v>126</v>
      </c>
      <c r="C10" s="125" t="s">
        <v>124</v>
      </c>
      <c r="D10" s="98">
        <v>12</v>
      </c>
      <c r="E10" s="98">
        <v>21.6</v>
      </c>
      <c r="F10" s="98">
        <f t="shared" ref="F10:F28" si="0">E10/D10*100</f>
        <v>180</v>
      </c>
      <c r="G10" s="98">
        <v>21.6</v>
      </c>
      <c r="H10" s="98">
        <f t="shared" ref="H10:H28" si="1">G10/D10*100</f>
        <v>180</v>
      </c>
      <c r="I10" s="98">
        <v>14.3</v>
      </c>
      <c r="J10" s="98">
        <f t="shared" ref="J10:J28" si="2">I10/D10*100</f>
        <v>119.16666666666667</v>
      </c>
      <c r="K10" s="98"/>
      <c r="L10" s="98">
        <f t="shared" ref="L10:L28" si="3">K10/D10*100</f>
        <v>0</v>
      </c>
      <c r="M10" s="98"/>
      <c r="N10" s="127" t="s">
        <v>127</v>
      </c>
    </row>
    <row r="11" spans="1:15" ht="62.25" customHeight="1">
      <c r="A11" s="124" t="s">
        <v>95</v>
      </c>
      <c r="B11" s="126" t="s">
        <v>128</v>
      </c>
      <c r="C11" s="125" t="s">
        <v>124</v>
      </c>
      <c r="D11" s="98">
        <v>20</v>
      </c>
      <c r="E11" s="98">
        <v>20</v>
      </c>
      <c r="F11" s="98">
        <f t="shared" si="0"/>
        <v>100</v>
      </c>
      <c r="G11" s="98">
        <v>20</v>
      </c>
      <c r="H11" s="98">
        <f t="shared" si="1"/>
        <v>100</v>
      </c>
      <c r="I11" s="98">
        <v>20</v>
      </c>
      <c r="J11" s="98">
        <f t="shared" si="2"/>
        <v>100</v>
      </c>
      <c r="K11" s="98"/>
      <c r="L11" s="98">
        <f t="shared" si="3"/>
        <v>0</v>
      </c>
      <c r="M11" s="98"/>
      <c r="N11" s="127" t="s">
        <v>129</v>
      </c>
    </row>
    <row r="12" spans="1:15" ht="73.5" customHeight="1">
      <c r="A12" s="124" t="s">
        <v>130</v>
      </c>
      <c r="B12" s="126" t="s">
        <v>131</v>
      </c>
      <c r="C12" s="125" t="s">
        <v>124</v>
      </c>
      <c r="D12" s="98">
        <v>0</v>
      </c>
      <c r="E12" s="98">
        <v>20</v>
      </c>
      <c r="F12" s="98" t="e">
        <f t="shared" si="0"/>
        <v>#DIV/0!</v>
      </c>
      <c r="G12" s="98">
        <v>20</v>
      </c>
      <c r="H12" s="98" t="e">
        <f t="shared" si="1"/>
        <v>#DIV/0!</v>
      </c>
      <c r="I12" s="98">
        <v>20</v>
      </c>
      <c r="J12" s="98" t="e">
        <f t="shared" si="2"/>
        <v>#DIV/0!</v>
      </c>
      <c r="K12" s="98"/>
      <c r="L12" s="98" t="e">
        <f t="shared" si="3"/>
        <v>#DIV/0!</v>
      </c>
      <c r="M12" s="98"/>
      <c r="N12" s="91" t="s">
        <v>132</v>
      </c>
    </row>
    <row r="13" spans="1:15" ht="34.5" customHeight="1">
      <c r="A13" s="124" t="s">
        <v>133</v>
      </c>
      <c r="B13" s="126" t="s">
        <v>134</v>
      </c>
      <c r="C13" s="125" t="s">
        <v>124</v>
      </c>
      <c r="D13" s="98">
        <v>89.4</v>
      </c>
      <c r="E13" s="98">
        <v>66.27</v>
      </c>
      <c r="F13" s="98">
        <f t="shared" si="0"/>
        <v>74.127516778523486</v>
      </c>
      <c r="G13" s="98">
        <v>66.58</v>
      </c>
      <c r="H13" s="98">
        <f t="shared" si="1"/>
        <v>74.474272930648766</v>
      </c>
      <c r="I13" s="98">
        <v>95.5</v>
      </c>
      <c r="J13" s="98">
        <f t="shared" si="2"/>
        <v>106.82326621923937</v>
      </c>
      <c r="K13" s="98"/>
      <c r="L13" s="98">
        <f t="shared" si="3"/>
        <v>0</v>
      </c>
      <c r="M13" s="98"/>
      <c r="N13" s="91" t="s">
        <v>135</v>
      </c>
    </row>
    <row r="14" spans="1:15" ht="41.25" customHeight="1">
      <c r="A14" s="124" t="s">
        <v>136</v>
      </c>
      <c r="B14" s="86" t="s">
        <v>137</v>
      </c>
      <c r="C14" s="125" t="s">
        <v>138</v>
      </c>
      <c r="D14" s="98">
        <v>242</v>
      </c>
      <c r="E14" s="98">
        <v>43.3</v>
      </c>
      <c r="F14" s="121">
        <f t="shared" si="0"/>
        <v>17.892561983471072</v>
      </c>
      <c r="G14" s="98">
        <v>55.8</v>
      </c>
      <c r="H14" s="98">
        <f t="shared" si="1"/>
        <v>23.057851239669418</v>
      </c>
      <c r="I14" s="98">
        <f>568416.6/5160</f>
        <v>110.15825581395349</v>
      </c>
      <c r="J14" s="98">
        <f t="shared" si="2"/>
        <v>45.519940418989044</v>
      </c>
      <c r="K14" s="98"/>
      <c r="L14" s="98">
        <f t="shared" si="3"/>
        <v>0</v>
      </c>
      <c r="M14" s="98"/>
      <c r="N14" s="91" t="s">
        <v>139</v>
      </c>
      <c r="O14" s="128"/>
    </row>
    <row r="15" spans="1:15" ht="41.25" customHeight="1">
      <c r="A15" s="124" t="s">
        <v>140</v>
      </c>
      <c r="B15" s="86" t="s">
        <v>141</v>
      </c>
      <c r="C15" s="125" t="s">
        <v>124</v>
      </c>
      <c r="D15" s="121">
        <v>0.46</v>
      </c>
      <c r="E15" s="121">
        <v>0.63</v>
      </c>
      <c r="F15" s="129">
        <f t="shared" si="0"/>
        <v>136.95652173913041</v>
      </c>
      <c r="G15" s="121">
        <v>0.69</v>
      </c>
      <c r="H15" s="98">
        <f t="shared" si="1"/>
        <v>149.99999999999997</v>
      </c>
      <c r="I15" s="121">
        <v>0.86</v>
      </c>
      <c r="J15" s="98">
        <f t="shared" si="2"/>
        <v>186.95652173913041</v>
      </c>
      <c r="K15" s="121"/>
      <c r="L15" s="98">
        <f t="shared" si="3"/>
        <v>0</v>
      </c>
      <c r="M15" s="121"/>
      <c r="N15" s="91" t="s">
        <v>142</v>
      </c>
      <c r="O15" s="128"/>
    </row>
    <row r="16" spans="1:15" ht="41.25" customHeight="1">
      <c r="A16" s="124" t="s">
        <v>143</v>
      </c>
      <c r="B16" s="86" t="s">
        <v>144</v>
      </c>
      <c r="C16" s="125" t="s">
        <v>124</v>
      </c>
      <c r="D16" s="98">
        <v>43</v>
      </c>
      <c r="E16" s="98">
        <v>2.9</v>
      </c>
      <c r="F16" s="129">
        <f t="shared" si="0"/>
        <v>6.7441860465116275</v>
      </c>
      <c r="G16" s="98">
        <v>12.01</v>
      </c>
      <c r="H16" s="98">
        <f t="shared" si="1"/>
        <v>27.930232558139533</v>
      </c>
      <c r="I16" s="98">
        <v>15.9</v>
      </c>
      <c r="J16" s="98">
        <f t="shared" si="2"/>
        <v>36.97674418604651</v>
      </c>
      <c r="K16" s="98"/>
      <c r="L16" s="98">
        <f t="shared" si="3"/>
        <v>0</v>
      </c>
      <c r="M16" s="98"/>
      <c r="N16" s="91" t="s">
        <v>145</v>
      </c>
      <c r="O16" s="128"/>
    </row>
    <row r="17" spans="1:14" ht="66" customHeight="1">
      <c r="A17" s="124" t="s">
        <v>146</v>
      </c>
      <c r="B17" s="126" t="s">
        <v>147</v>
      </c>
      <c r="C17" s="125" t="s">
        <v>124</v>
      </c>
      <c r="D17" s="98">
        <v>82</v>
      </c>
      <c r="E17" s="98">
        <v>8.1199999999999992</v>
      </c>
      <c r="F17" s="98">
        <f t="shared" si="0"/>
        <v>9.9024390243902438</v>
      </c>
      <c r="G17" s="98">
        <v>8.9</v>
      </c>
      <c r="H17" s="98">
        <f t="shared" si="1"/>
        <v>10.853658536585366</v>
      </c>
      <c r="I17" s="98">
        <v>7.8</v>
      </c>
      <c r="J17" s="98">
        <f t="shared" si="2"/>
        <v>9.5121951219512191</v>
      </c>
      <c r="K17" s="98"/>
      <c r="L17" s="98">
        <f t="shared" si="3"/>
        <v>0</v>
      </c>
      <c r="M17" s="98"/>
      <c r="N17" s="91" t="s">
        <v>148</v>
      </c>
    </row>
    <row r="18" spans="1:14" ht="55.5" customHeight="1">
      <c r="A18" s="124" t="s">
        <v>149</v>
      </c>
      <c r="B18" s="126" t="s">
        <v>150</v>
      </c>
      <c r="C18" s="125" t="s">
        <v>124</v>
      </c>
      <c r="D18" s="98">
        <v>88</v>
      </c>
      <c r="E18" s="98">
        <v>79</v>
      </c>
      <c r="F18" s="98">
        <f t="shared" si="0"/>
        <v>89.772727272727266</v>
      </c>
      <c r="G18" s="98">
        <v>79</v>
      </c>
      <c r="H18" s="98">
        <f t="shared" si="1"/>
        <v>89.772727272727266</v>
      </c>
      <c r="I18" s="98">
        <v>79</v>
      </c>
      <c r="J18" s="98">
        <f t="shared" si="2"/>
        <v>89.772727272727266</v>
      </c>
      <c r="K18" s="98"/>
      <c r="L18" s="98">
        <f t="shared" si="3"/>
        <v>0</v>
      </c>
      <c r="M18" s="98"/>
      <c r="N18" s="91" t="s">
        <v>151</v>
      </c>
    </row>
    <row r="19" spans="1:14" ht="45.75" customHeight="1">
      <c r="A19" s="85" t="s">
        <v>152</v>
      </c>
      <c r="B19" s="86" t="s">
        <v>153</v>
      </c>
      <c r="C19" s="87" t="s">
        <v>124</v>
      </c>
      <c r="D19" s="88">
        <v>37.700000000000003</v>
      </c>
      <c r="E19" s="89">
        <v>12.6</v>
      </c>
      <c r="F19" s="90">
        <f>E19/D19*100</f>
        <v>33.42175066312997</v>
      </c>
      <c r="G19" s="89">
        <v>28.7</v>
      </c>
      <c r="H19" s="90">
        <f t="shared" ref="H19:H24" si="4">G19/D19*100</f>
        <v>76.127320954907148</v>
      </c>
      <c r="I19" s="89">
        <v>34.799999999999997</v>
      </c>
      <c r="J19" s="90">
        <f t="shared" ref="J19:J24" si="5">I19/D19*100</f>
        <v>92.307692307692292</v>
      </c>
      <c r="K19" s="89"/>
      <c r="L19" s="89">
        <v>0</v>
      </c>
      <c r="M19" s="89"/>
      <c r="N19" s="91" t="s">
        <v>154</v>
      </c>
    </row>
    <row r="20" spans="1:14" ht="45.75" customHeight="1">
      <c r="A20" s="93" t="s">
        <v>155</v>
      </c>
      <c r="B20" s="94" t="s">
        <v>156</v>
      </c>
      <c r="C20" s="95" t="s">
        <v>124</v>
      </c>
      <c r="D20" s="96">
        <v>8.5</v>
      </c>
      <c r="E20" s="96">
        <v>0</v>
      </c>
      <c r="F20" s="96">
        <v>0</v>
      </c>
      <c r="G20" s="96">
        <f>68/2365*100</f>
        <v>2.875264270613108</v>
      </c>
      <c r="H20" s="97">
        <f t="shared" si="4"/>
        <v>33.826638477801268</v>
      </c>
      <c r="I20" s="96">
        <v>8.5</v>
      </c>
      <c r="J20" s="98">
        <f t="shared" si="5"/>
        <v>100</v>
      </c>
      <c r="K20" s="96"/>
      <c r="L20" s="96">
        <v>0</v>
      </c>
      <c r="M20" s="96"/>
      <c r="N20" s="99" t="s">
        <v>157</v>
      </c>
    </row>
    <row r="21" spans="1:14" ht="77.25" customHeight="1">
      <c r="A21" s="100" t="s">
        <v>158</v>
      </c>
      <c r="B21" s="100" t="s">
        <v>159</v>
      </c>
      <c r="C21" s="101" t="s">
        <v>124</v>
      </c>
      <c r="D21" s="102">
        <v>33.28</v>
      </c>
      <c r="E21" s="103">
        <f>288/9463*100</f>
        <v>3.043432315333404</v>
      </c>
      <c r="F21" s="103">
        <f>E21/D21*100</f>
        <v>9.1449288321316224</v>
      </c>
      <c r="G21" s="103">
        <f>2596/9463*100</f>
        <v>27.433160731269151</v>
      </c>
      <c r="H21" s="103">
        <f t="shared" si="4"/>
        <v>82.431372389630866</v>
      </c>
      <c r="I21" s="104">
        <f>2958/9463*100</f>
        <v>31.258586072070166</v>
      </c>
      <c r="J21" s="98">
        <f t="shared" si="5"/>
        <v>93.926039880018521</v>
      </c>
      <c r="K21" s="105"/>
      <c r="L21" s="103">
        <v>0</v>
      </c>
      <c r="M21" s="103"/>
      <c r="N21" s="100" t="s">
        <v>160</v>
      </c>
    </row>
    <row r="22" spans="1:14" ht="60" customHeight="1">
      <c r="A22" s="100" t="s">
        <v>161</v>
      </c>
      <c r="B22" s="106" t="s">
        <v>162</v>
      </c>
      <c r="C22" s="101" t="s">
        <v>124</v>
      </c>
      <c r="D22" s="107">
        <v>7.19</v>
      </c>
      <c r="E22" s="103">
        <v>10.5</v>
      </c>
      <c r="F22" s="88">
        <f>E22/D22*100</f>
        <v>146.03616133518776</v>
      </c>
      <c r="G22" s="103">
        <v>76.900000000000006</v>
      </c>
      <c r="H22" s="88">
        <f t="shared" si="4"/>
        <v>1069.5410292072322</v>
      </c>
      <c r="I22" s="104">
        <f>8275/9463*100</f>
        <v>87.445841699249698</v>
      </c>
      <c r="J22" s="98">
        <f t="shared" si="5"/>
        <v>1216.2147663317064</v>
      </c>
      <c r="K22" s="105"/>
      <c r="L22" s="103">
        <v>0</v>
      </c>
      <c r="M22" s="103"/>
      <c r="N22" s="106" t="s">
        <v>163</v>
      </c>
    </row>
    <row r="23" spans="1:14" ht="45.75" customHeight="1">
      <c r="A23" s="100" t="s">
        <v>164</v>
      </c>
      <c r="B23" s="106" t="s">
        <v>165</v>
      </c>
      <c r="C23" s="101" t="s">
        <v>124</v>
      </c>
      <c r="D23" s="102">
        <v>70.06</v>
      </c>
      <c r="E23" s="88">
        <f>(607+284)/9463*100</f>
        <v>9.4156187255627177</v>
      </c>
      <c r="F23" s="103">
        <f>E23/D23*100</f>
        <v>13.439364438428086</v>
      </c>
      <c r="G23" s="88">
        <f>(3705+5180)/9463*100</f>
        <v>93.892000422698928</v>
      </c>
      <c r="H23" s="103">
        <f t="shared" si="4"/>
        <v>134.01655783999274</v>
      </c>
      <c r="I23" s="88">
        <f>(4462+5857)/9463*100</f>
        <v>109.04575715946316</v>
      </c>
      <c r="J23" s="98">
        <f t="shared" si="5"/>
        <v>155.6462420203585</v>
      </c>
      <c r="K23" s="105"/>
      <c r="L23" s="103">
        <v>0</v>
      </c>
      <c r="M23" s="103"/>
      <c r="N23" s="108" t="s">
        <v>166</v>
      </c>
    </row>
    <row r="24" spans="1:14" ht="73.5" customHeight="1">
      <c r="A24" s="100" t="s">
        <v>167</v>
      </c>
      <c r="B24" s="106" t="s">
        <v>168</v>
      </c>
      <c r="C24" s="101" t="s">
        <v>124</v>
      </c>
      <c r="D24" s="102">
        <v>15.07</v>
      </c>
      <c r="E24" s="103">
        <f>91/1595*100</f>
        <v>5.7053291536050157</v>
      </c>
      <c r="F24" s="103">
        <f>E24/D24*100</f>
        <v>37.858853043165333</v>
      </c>
      <c r="G24" s="103">
        <f>431/1595*100</f>
        <v>27.021943573667713</v>
      </c>
      <c r="H24" s="103">
        <f t="shared" si="4"/>
        <v>179.30951276488196</v>
      </c>
      <c r="I24" s="104">
        <f>595/1595*100</f>
        <v>37.304075235109721</v>
      </c>
      <c r="J24" s="98">
        <f t="shared" si="5"/>
        <v>247.5386545130041</v>
      </c>
      <c r="K24" s="105"/>
      <c r="L24" s="103">
        <v>0</v>
      </c>
      <c r="M24" s="104"/>
      <c r="N24" s="91" t="s">
        <v>169</v>
      </c>
    </row>
    <row r="25" spans="1:14" ht="48.75" customHeight="1"/>
    <row r="26" spans="1:14" ht="30" customHeight="1">
      <c r="A26" s="130" t="s">
        <v>170</v>
      </c>
      <c r="B26" s="131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3"/>
      <c r="N26" s="91"/>
    </row>
    <row r="27" spans="1:14" ht="30" customHeight="1">
      <c r="A27" s="91" t="s">
        <v>122</v>
      </c>
      <c r="B27" s="91" t="s">
        <v>171</v>
      </c>
      <c r="C27" s="121"/>
      <c r="D27" s="98"/>
      <c r="E27" s="98"/>
      <c r="F27" s="98" t="e">
        <f t="shared" si="0"/>
        <v>#DIV/0!</v>
      </c>
      <c r="G27" s="98"/>
      <c r="H27" s="98" t="e">
        <f t="shared" si="1"/>
        <v>#DIV/0!</v>
      </c>
      <c r="I27" s="98"/>
      <c r="J27" s="98" t="e">
        <f t="shared" si="2"/>
        <v>#DIV/0!</v>
      </c>
      <c r="K27" s="98"/>
      <c r="L27" s="98" t="e">
        <f t="shared" si="3"/>
        <v>#DIV/0!</v>
      </c>
      <c r="M27" s="98"/>
      <c r="N27" s="91"/>
    </row>
    <row r="28" spans="1:14" ht="30" customHeight="1">
      <c r="A28" s="91" t="s">
        <v>80</v>
      </c>
      <c r="B28" s="91" t="s">
        <v>172</v>
      </c>
      <c r="C28" s="121"/>
      <c r="D28" s="98"/>
      <c r="E28" s="98"/>
      <c r="F28" s="98" t="e">
        <f t="shared" si="0"/>
        <v>#DIV/0!</v>
      </c>
      <c r="G28" s="98"/>
      <c r="H28" s="98" t="e">
        <f t="shared" si="1"/>
        <v>#DIV/0!</v>
      </c>
      <c r="I28" s="98"/>
      <c r="J28" s="98" t="e">
        <f t="shared" si="2"/>
        <v>#DIV/0!</v>
      </c>
      <c r="K28" s="98"/>
      <c r="L28" s="98" t="e">
        <f t="shared" si="3"/>
        <v>#DIV/0!</v>
      </c>
      <c r="M28" s="98"/>
      <c r="N28" s="91"/>
    </row>
    <row r="29" spans="1:14" ht="107.25" customHeight="1">
      <c r="A29" s="134" t="s">
        <v>173</v>
      </c>
      <c r="B29" s="134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34"/>
    </row>
  </sheetData>
  <mergeCells count="11">
    <mergeCell ref="A8:M8"/>
    <mergeCell ref="A26:M26"/>
    <mergeCell ref="A29:N29"/>
    <mergeCell ref="A2:N2"/>
    <mergeCell ref="A3:N3"/>
    <mergeCell ref="A5:A6"/>
    <mergeCell ref="B5:B6"/>
    <mergeCell ref="C5:C6"/>
    <mergeCell ref="D5:L5"/>
    <mergeCell ref="M5:M6"/>
    <mergeCell ref="N5:N6"/>
  </mergeCells>
  <pageMargins left="0.70078740157480324" right="0.70078740157480324" top="0.75196850393700776" bottom="0.75196850393700776" header="0.3" footer="0.3"/>
  <pageSetup paperSize="9" scale="56" fitToHeight="0" orientation="landscape" horizontalDpi="180" verticalDpi="18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71"/>
  <sheetViews>
    <sheetView workbookViewId="0">
      <selection activeCell="C20" sqref="C20"/>
    </sheetView>
  </sheetViews>
  <sheetFormatPr defaultRowHeight="15"/>
  <cols>
    <col min="1" max="1" width="7.5703125" customWidth="1"/>
    <col min="2" max="2" width="24.42578125" customWidth="1"/>
    <col min="4" max="5" width="10.42578125" customWidth="1"/>
    <col min="6" max="6" width="12.28515625" customWidth="1"/>
    <col min="7" max="7" width="10.42578125" customWidth="1"/>
    <col min="8" max="8" width="11.5703125" customWidth="1"/>
    <col min="9" max="9" width="10.42578125" customWidth="1"/>
    <col min="10" max="10" width="11.28515625" customWidth="1"/>
    <col min="11" max="12" width="11.7109375" customWidth="1"/>
    <col min="13" max="13" width="11.42578125" customWidth="1"/>
    <col min="14" max="14" width="12.7109375" customWidth="1"/>
  </cols>
  <sheetData>
    <row r="1" spans="1:17">
      <c r="K1" s="39"/>
      <c r="N1" s="37"/>
    </row>
    <row r="2" spans="1:17">
      <c r="A2" s="77"/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"/>
      <c r="P2" s="77" t="s">
        <v>174</v>
      </c>
      <c r="Q2" s="77"/>
    </row>
    <row r="3" spans="1:17" s="36" customFormat="1" ht="24" customHeight="1">
      <c r="A3" s="7"/>
      <c r="B3" s="78" t="s">
        <v>175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"/>
    </row>
    <row r="4" spans="1:17" s="36" customFormat="1" ht="18.75" customHeight="1">
      <c r="A4" s="7"/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"/>
    </row>
    <row r="5" spans="1:17" s="36" customFormat="1" ht="18" customHeight="1">
      <c r="A5" s="40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ht="38.25">
      <c r="A6" s="48" t="s">
        <v>176</v>
      </c>
      <c r="B6" s="48" t="s">
        <v>177</v>
      </c>
      <c r="C6" s="8" t="s">
        <v>178</v>
      </c>
      <c r="D6" s="48" t="s">
        <v>179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8" t="s">
        <v>180</v>
      </c>
      <c r="Q6" s="48" t="s">
        <v>181</v>
      </c>
    </row>
    <row r="7" spans="1:17" ht="25.5">
      <c r="A7" s="48"/>
      <c r="B7" s="48"/>
      <c r="C7" s="41" t="s">
        <v>182</v>
      </c>
      <c r="D7" s="48" t="s">
        <v>9</v>
      </c>
      <c r="E7" s="48"/>
      <c r="F7" s="48"/>
      <c r="G7" s="48" t="s">
        <v>10</v>
      </c>
      <c r="H7" s="48"/>
      <c r="I7" s="48"/>
      <c r="J7" s="48" t="s">
        <v>11</v>
      </c>
      <c r="K7" s="48"/>
      <c r="L7" s="48"/>
      <c r="M7" s="48" t="s">
        <v>12</v>
      </c>
      <c r="N7" s="48"/>
      <c r="O7" s="48"/>
      <c r="P7" s="8" t="s">
        <v>183</v>
      </c>
      <c r="Q7" s="48"/>
    </row>
    <row r="8" spans="1:17">
      <c r="A8" s="48"/>
      <c r="B8" s="48"/>
      <c r="C8" s="23"/>
      <c r="D8" s="48" t="s">
        <v>184</v>
      </c>
      <c r="E8" s="48" t="s">
        <v>185</v>
      </c>
      <c r="F8" s="8" t="s">
        <v>186</v>
      </c>
      <c r="G8" s="48" t="s">
        <v>184</v>
      </c>
      <c r="H8" s="48" t="s">
        <v>185</v>
      </c>
      <c r="I8" s="8" t="s">
        <v>186</v>
      </c>
      <c r="J8" s="48" t="s">
        <v>184</v>
      </c>
      <c r="K8" s="48" t="s">
        <v>185</v>
      </c>
      <c r="L8" s="8" t="s">
        <v>186</v>
      </c>
      <c r="M8" s="48" t="s">
        <v>184</v>
      </c>
      <c r="N8" s="48" t="s">
        <v>185</v>
      </c>
      <c r="O8" s="8" t="s">
        <v>186</v>
      </c>
      <c r="P8" s="48" t="s">
        <v>187</v>
      </c>
      <c r="Q8" s="48"/>
    </row>
    <row r="9" spans="1:17" ht="51">
      <c r="A9" s="48"/>
      <c r="B9" s="48"/>
      <c r="C9" s="23"/>
      <c r="D9" s="48"/>
      <c r="E9" s="48"/>
      <c r="F9" s="8" t="s">
        <v>188</v>
      </c>
      <c r="G9" s="48"/>
      <c r="H9" s="48"/>
      <c r="I9" s="8" t="s">
        <v>188</v>
      </c>
      <c r="J9" s="48"/>
      <c r="K9" s="48"/>
      <c r="L9" s="8" t="s">
        <v>188</v>
      </c>
      <c r="M9" s="48"/>
      <c r="N9" s="48"/>
      <c r="O9" s="8" t="s">
        <v>188</v>
      </c>
      <c r="P9" s="48"/>
      <c r="Q9" s="48"/>
    </row>
    <row r="10" spans="1:17" ht="38.25">
      <c r="A10" s="48"/>
      <c r="B10" s="48"/>
      <c r="C10" s="23"/>
      <c r="D10" s="48"/>
      <c r="E10" s="48"/>
      <c r="F10" s="23" t="s">
        <v>189</v>
      </c>
      <c r="G10" s="48"/>
      <c r="H10" s="48"/>
      <c r="I10" s="23" t="s">
        <v>190</v>
      </c>
      <c r="J10" s="48"/>
      <c r="K10" s="48"/>
      <c r="L10" s="23" t="s">
        <v>191</v>
      </c>
      <c r="M10" s="48"/>
      <c r="N10" s="48"/>
      <c r="O10" s="23" t="s">
        <v>192</v>
      </c>
      <c r="P10" s="48"/>
      <c r="Q10" s="48"/>
    </row>
    <row r="11" spans="1:17">
      <c r="A11" s="8">
        <v>1</v>
      </c>
      <c r="B11" s="8">
        <v>2</v>
      </c>
      <c r="C11" s="8">
        <v>3</v>
      </c>
      <c r="D11" s="8">
        <v>4</v>
      </c>
      <c r="E11" s="8">
        <v>5</v>
      </c>
      <c r="F11" s="8">
        <v>6</v>
      </c>
      <c r="G11" s="8">
        <v>7</v>
      </c>
      <c r="H11" s="8">
        <v>8</v>
      </c>
      <c r="I11" s="8">
        <v>9</v>
      </c>
      <c r="J11" s="8">
        <v>10</v>
      </c>
      <c r="K11" s="8">
        <v>11</v>
      </c>
      <c r="L11" s="8">
        <v>12</v>
      </c>
      <c r="M11" s="8">
        <v>13</v>
      </c>
      <c r="N11" s="8">
        <v>14</v>
      </c>
      <c r="O11" s="8">
        <v>15</v>
      </c>
      <c r="P11" s="8">
        <v>16</v>
      </c>
      <c r="Q11" s="8">
        <v>17</v>
      </c>
    </row>
    <row r="12" spans="1:17">
      <c r="A12" s="8" t="s">
        <v>122</v>
      </c>
      <c r="B12" s="79" t="s">
        <v>193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</row>
    <row r="13" spans="1:17" ht="25.5">
      <c r="A13" s="8" t="s">
        <v>30</v>
      </c>
      <c r="B13" s="23" t="s">
        <v>194</v>
      </c>
      <c r="C13" s="8"/>
      <c r="D13" s="8"/>
      <c r="E13" s="8"/>
      <c r="F13" s="25" t="e">
        <f t="shared" ref="F13:F70" si="0">E13/D13*100</f>
        <v>#DIV/0!</v>
      </c>
      <c r="G13" s="8"/>
      <c r="H13" s="8"/>
      <c r="I13" s="25" t="e">
        <f t="shared" ref="I13:I16" si="1">H13/G13*100</f>
        <v>#DIV/0!</v>
      </c>
      <c r="J13" s="8"/>
      <c r="K13" s="23"/>
      <c r="L13" s="25" t="e">
        <f t="shared" ref="L13:L16" si="2">K13/J13*100</f>
        <v>#DIV/0!</v>
      </c>
      <c r="M13" s="23"/>
      <c r="N13" s="23"/>
      <c r="O13" s="25" t="e">
        <f t="shared" ref="O13:O16" si="3">N13/M13*100</f>
        <v>#DIV/0!</v>
      </c>
      <c r="P13" s="23"/>
      <c r="Q13" s="23"/>
    </row>
    <row r="14" spans="1:17">
      <c r="A14" s="8"/>
      <c r="B14" s="42"/>
      <c r="C14" s="42"/>
      <c r="D14" s="42"/>
      <c r="E14" s="42"/>
      <c r="F14" s="25" t="e">
        <f t="shared" si="0"/>
        <v>#DIV/0!</v>
      </c>
      <c r="G14" s="42"/>
      <c r="H14" s="42"/>
      <c r="I14" s="25" t="e">
        <f t="shared" si="1"/>
        <v>#DIV/0!</v>
      </c>
      <c r="J14" s="42"/>
      <c r="K14" s="42"/>
      <c r="L14" s="25" t="e">
        <f t="shared" si="2"/>
        <v>#DIV/0!</v>
      </c>
      <c r="M14" s="42"/>
      <c r="N14" s="42"/>
      <c r="O14" s="25" t="e">
        <f t="shared" si="3"/>
        <v>#DIV/0!</v>
      </c>
      <c r="P14" s="42"/>
      <c r="Q14" s="42"/>
    </row>
    <row r="15" spans="1:17">
      <c r="A15" s="8"/>
      <c r="B15" s="42"/>
      <c r="C15" s="42"/>
      <c r="D15" s="42"/>
      <c r="E15" s="42"/>
      <c r="F15" s="25" t="e">
        <f t="shared" si="0"/>
        <v>#DIV/0!</v>
      </c>
      <c r="G15" s="42"/>
      <c r="H15" s="42"/>
      <c r="I15" s="25" t="e">
        <f t="shared" si="1"/>
        <v>#DIV/0!</v>
      </c>
      <c r="J15" s="42"/>
      <c r="K15" s="42"/>
      <c r="L15" s="25" t="e">
        <f t="shared" si="2"/>
        <v>#DIV/0!</v>
      </c>
      <c r="M15" s="42"/>
      <c r="N15" s="42"/>
      <c r="O15" s="25" t="e">
        <f t="shared" si="3"/>
        <v>#DIV/0!</v>
      </c>
      <c r="P15" s="42"/>
      <c r="Q15" s="42"/>
    </row>
    <row r="16" spans="1:17">
      <c r="A16" s="8"/>
      <c r="B16" s="23"/>
      <c r="C16" s="8"/>
      <c r="D16" s="8"/>
      <c r="E16" s="8"/>
      <c r="F16" s="25" t="e">
        <f t="shared" si="0"/>
        <v>#DIV/0!</v>
      </c>
      <c r="G16" s="8"/>
      <c r="H16" s="8"/>
      <c r="I16" s="25" t="e">
        <f t="shared" si="1"/>
        <v>#DIV/0!</v>
      </c>
      <c r="J16" s="8"/>
      <c r="K16" s="23"/>
      <c r="L16" s="25" t="e">
        <f t="shared" si="2"/>
        <v>#DIV/0!</v>
      </c>
      <c r="M16" s="23"/>
      <c r="N16" s="23"/>
      <c r="O16" s="25" t="e">
        <f t="shared" si="3"/>
        <v>#DIV/0!</v>
      </c>
      <c r="P16" s="23"/>
      <c r="Q16" s="23"/>
    </row>
    <row r="17" spans="1:17" ht="155.25" customHeight="1">
      <c r="A17" s="80" t="s">
        <v>195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</row>
    <row r="18" spans="1:17" ht="15.75" customHeight="1">
      <c r="A18" s="81"/>
      <c r="B18" s="81"/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</row>
    <row r="19" spans="1:17" ht="15.75" customHeight="1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</row>
    <row r="20" spans="1:17" ht="15.75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1" spans="1:17" ht="15.75" customHeight="1">
      <c r="A21" s="43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7" ht="15.75" customHeight="1">
      <c r="A22" s="43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1:17" ht="15.75">
      <c r="A23" s="43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7" ht="15.7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7" ht="15.75">
      <c r="A25" s="43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7" ht="15.75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7" ht="15.75">
      <c r="A27" s="43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7" ht="15.7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7" ht="15.75">
      <c r="A29" s="43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7" ht="15.7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7" ht="15.75">
      <c r="A31" s="43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7" ht="15.75">
      <c r="A32" s="43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4" ht="15.75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4" ht="15.75">
      <c r="A34" s="43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4" ht="15.75">
      <c r="A35" s="43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4" ht="15.75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4" ht="15.75">
      <c r="A37" s="43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4" ht="15.75">
      <c r="A38" s="43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4" ht="15.7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</row>
    <row r="40" spans="1:14" ht="15.75">
      <c r="A40" s="43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4" ht="15.75">
      <c r="A41" s="43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4" ht="15.75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</row>
    <row r="43" spans="1:14" ht="15.75">
      <c r="A43" s="43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4" ht="15.75">
      <c r="A44" s="43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4" ht="15.7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4" ht="15.75">
      <c r="A46" s="43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</row>
    <row r="47" spans="1:14" ht="15.75">
      <c r="A47" s="43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ht="15.7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4" ht="15.75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4" ht="15.75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</row>
    <row r="51" spans="1:14" ht="15.75">
      <c r="A51" s="43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4" ht="15.75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4" ht="15.75">
      <c r="A53" s="43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4" ht="15.75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</row>
    <row r="55" spans="1:14" ht="15.7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</row>
    <row r="56" spans="1:14" ht="15.75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4" ht="15.75">
      <c r="A57" s="43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</row>
    <row r="58" spans="1:14" ht="15.75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</row>
    <row r="59" spans="1:14" ht="15.75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</row>
    <row r="60" spans="1:14" ht="15.75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</row>
    <row r="62" spans="1:14" ht="30.75" customHeight="1">
      <c r="A62" s="66" t="s">
        <v>4</v>
      </c>
      <c r="B62" s="66" t="s">
        <v>107</v>
      </c>
      <c r="C62" s="66" t="s">
        <v>108</v>
      </c>
      <c r="D62" s="72" t="s">
        <v>109</v>
      </c>
      <c r="E62" s="73"/>
      <c r="F62" s="73"/>
      <c r="G62" s="73"/>
      <c r="H62" s="73"/>
      <c r="I62" s="73"/>
      <c r="J62" s="73"/>
      <c r="K62" s="73"/>
      <c r="L62" s="74"/>
      <c r="M62" s="66" t="s">
        <v>110</v>
      </c>
      <c r="N62" s="66" t="s">
        <v>111</v>
      </c>
    </row>
    <row r="63" spans="1:14" ht="81.75" customHeight="1">
      <c r="A63" s="71"/>
      <c r="B63" s="71"/>
      <c r="C63" s="71"/>
      <c r="D63" s="38" t="s">
        <v>112</v>
      </c>
      <c r="E63" s="38" t="s">
        <v>113</v>
      </c>
      <c r="F63" s="38" t="s">
        <v>114</v>
      </c>
      <c r="G63" s="38" t="s">
        <v>115</v>
      </c>
      <c r="H63" s="38" t="s">
        <v>116</v>
      </c>
      <c r="I63" s="38" t="s">
        <v>117</v>
      </c>
      <c r="J63" s="38" t="s">
        <v>118</v>
      </c>
      <c r="K63" s="38" t="s">
        <v>119</v>
      </c>
      <c r="L63" s="38" t="s">
        <v>120</v>
      </c>
      <c r="M63" s="71"/>
      <c r="N63" s="71"/>
    </row>
    <row r="64" spans="1:14">
      <c r="A64" s="38">
        <v>1</v>
      </c>
      <c r="B64" s="38">
        <v>2</v>
      </c>
      <c r="C64" s="38">
        <v>3</v>
      </c>
      <c r="D64" s="38">
        <v>4</v>
      </c>
      <c r="E64" s="38">
        <v>5</v>
      </c>
      <c r="F64" s="38">
        <v>6</v>
      </c>
      <c r="G64" s="38">
        <v>7</v>
      </c>
      <c r="H64" s="38">
        <v>8</v>
      </c>
      <c r="I64" s="38">
        <v>9</v>
      </c>
      <c r="J64" s="38">
        <v>10</v>
      </c>
      <c r="K64" s="38">
        <v>11</v>
      </c>
      <c r="L64" s="38">
        <v>12</v>
      </c>
      <c r="M64" s="38">
        <v>13</v>
      </c>
      <c r="N64" s="38">
        <v>14</v>
      </c>
    </row>
    <row r="65" spans="1:14" ht="30" customHeight="1">
      <c r="A65" s="82" t="s">
        <v>121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44"/>
    </row>
    <row r="66" spans="1:14" ht="30" customHeight="1">
      <c r="A66" s="44" t="s">
        <v>122</v>
      </c>
      <c r="B66" s="45" t="s">
        <v>171</v>
      </c>
      <c r="C66" s="44"/>
      <c r="D66" s="25"/>
      <c r="E66" s="25"/>
      <c r="F66" s="25" t="e">
        <f t="shared" si="0"/>
        <v>#DIV/0!</v>
      </c>
      <c r="G66" s="25"/>
      <c r="H66" s="25" t="e">
        <f t="shared" ref="H66:H70" si="4">G66/D66*100</f>
        <v>#DIV/0!</v>
      </c>
      <c r="I66" s="25"/>
      <c r="J66" s="25" t="e">
        <f t="shared" ref="J66:J70" si="5">I66/D66*100</f>
        <v>#DIV/0!</v>
      </c>
      <c r="K66" s="25"/>
      <c r="L66" s="25" t="e">
        <f t="shared" ref="L66:L70" si="6">K66/D66*100</f>
        <v>#DIV/0!</v>
      </c>
      <c r="M66" s="25"/>
      <c r="N66" s="44"/>
    </row>
    <row r="67" spans="1:14" ht="30" customHeight="1">
      <c r="A67" s="44" t="s">
        <v>80</v>
      </c>
      <c r="B67" s="45" t="s">
        <v>172</v>
      </c>
      <c r="C67" s="44"/>
      <c r="D67" s="25"/>
      <c r="E67" s="25"/>
      <c r="F67" s="25" t="e">
        <f t="shared" si="0"/>
        <v>#DIV/0!</v>
      </c>
      <c r="G67" s="25"/>
      <c r="H67" s="25" t="e">
        <f t="shared" si="4"/>
        <v>#DIV/0!</v>
      </c>
      <c r="I67" s="25"/>
      <c r="J67" s="25" t="e">
        <f t="shared" si="5"/>
        <v>#DIV/0!</v>
      </c>
      <c r="K67" s="25"/>
      <c r="L67" s="25" t="e">
        <f t="shared" si="6"/>
        <v>#DIV/0!</v>
      </c>
      <c r="M67" s="25"/>
      <c r="N67" s="44"/>
    </row>
    <row r="68" spans="1:14" ht="30" customHeight="1">
      <c r="A68" s="75" t="s">
        <v>170</v>
      </c>
      <c r="B68" s="76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83"/>
      <c r="N68" s="44"/>
    </row>
    <row r="69" spans="1:14" ht="30" customHeight="1">
      <c r="A69" s="44" t="s">
        <v>122</v>
      </c>
      <c r="B69" s="45" t="s">
        <v>171</v>
      </c>
      <c r="C69" s="44"/>
      <c r="D69" s="25"/>
      <c r="E69" s="25"/>
      <c r="F69" s="25" t="e">
        <f t="shared" si="0"/>
        <v>#DIV/0!</v>
      </c>
      <c r="G69" s="25"/>
      <c r="H69" s="25" t="e">
        <f t="shared" si="4"/>
        <v>#DIV/0!</v>
      </c>
      <c r="I69" s="25"/>
      <c r="J69" s="25" t="e">
        <f t="shared" si="5"/>
        <v>#DIV/0!</v>
      </c>
      <c r="K69" s="25"/>
      <c r="L69" s="25" t="e">
        <f t="shared" si="6"/>
        <v>#DIV/0!</v>
      </c>
      <c r="M69" s="25"/>
      <c r="N69" s="44"/>
    </row>
    <row r="70" spans="1:14" ht="30" customHeight="1">
      <c r="A70" s="44" t="s">
        <v>80</v>
      </c>
      <c r="B70" s="45" t="s">
        <v>172</v>
      </c>
      <c r="C70" s="44"/>
      <c r="D70" s="25"/>
      <c r="E70" s="25"/>
      <c r="F70" s="25" t="e">
        <f t="shared" si="0"/>
        <v>#DIV/0!</v>
      </c>
      <c r="G70" s="25"/>
      <c r="H70" s="25" t="e">
        <f t="shared" si="4"/>
        <v>#DIV/0!</v>
      </c>
      <c r="I70" s="25"/>
      <c r="J70" s="25" t="e">
        <f t="shared" si="5"/>
        <v>#DIV/0!</v>
      </c>
      <c r="K70" s="25"/>
      <c r="L70" s="25" t="e">
        <f t="shared" si="6"/>
        <v>#DIV/0!</v>
      </c>
      <c r="M70" s="25"/>
      <c r="N70" s="44"/>
    </row>
    <row r="71" spans="1:14" ht="107.25" customHeight="1">
      <c r="A71" s="84" t="s">
        <v>173</v>
      </c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  <c r="M71" s="84"/>
      <c r="N71" s="84"/>
    </row>
  </sheetData>
  <mergeCells count="32">
    <mergeCell ref="A65:M65"/>
    <mergeCell ref="A68:M68"/>
    <mergeCell ref="A71:N71"/>
    <mergeCell ref="A17:Q17"/>
    <mergeCell ref="A18:Q18"/>
    <mergeCell ref="A62:A63"/>
    <mergeCell ref="B62:B63"/>
    <mergeCell ref="C62:C63"/>
    <mergeCell ref="D62:L62"/>
    <mergeCell ref="M62:M63"/>
    <mergeCell ref="N62:N63"/>
    <mergeCell ref="K8:K10"/>
    <mergeCell ref="M8:M10"/>
    <mergeCell ref="N8:N10"/>
    <mergeCell ref="P8:P10"/>
    <mergeCell ref="B12:Q12"/>
    <mergeCell ref="A2:N2"/>
    <mergeCell ref="P2:Q2"/>
    <mergeCell ref="B3:P4"/>
    <mergeCell ref="A6:A10"/>
    <mergeCell ref="B6:B10"/>
    <mergeCell ref="D6:O6"/>
    <mergeCell ref="Q6:Q10"/>
    <mergeCell ref="D7:F7"/>
    <mergeCell ref="G7:I7"/>
    <mergeCell ref="J7:L7"/>
    <mergeCell ref="M7:O7"/>
    <mergeCell ref="D8:D10"/>
    <mergeCell ref="E8:E10"/>
    <mergeCell ref="G8:G10"/>
    <mergeCell ref="H8:H10"/>
    <mergeCell ref="J8:J10"/>
  </mergeCells>
  <hyperlinks>
    <hyperlink ref="C7" r:id="rId1"/>
    <hyperlink ref="B12" r:id="rId2"/>
  </hyperlinks>
  <pageMargins left="0.7" right="0.7" top="0.75" bottom="0.75" header="0.3" footer="0.3"/>
  <pageSetup paperSize="9" orientation="landscape" horizontalDpi="180" verticalDpi="18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сетевой график</vt:lpstr>
      <vt:lpstr>показатели</vt:lpstr>
      <vt:lpstr>прокси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Васечкина Елена Александровна</dc:creator>
  <cp:lastModifiedBy>PolienkoAA</cp:lastModifiedBy>
  <cp:revision>5</cp:revision>
  <dcterms:created xsi:type="dcterms:W3CDTF">2006-09-28T05:33:49Z</dcterms:created>
  <dcterms:modified xsi:type="dcterms:W3CDTF">2025-12-23T10:10:26Z</dcterms:modified>
</cp:coreProperties>
</file>